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785" windowWidth="19200" windowHeight="7515" tabRatio="496" firstSheet="1" activeTab="1"/>
  </bookViews>
  <sheets>
    <sheet name="СВОД 2 приложение " sheetId="1" state="hidden" r:id="rId1"/>
    <sheet name="Отчет за 2021" sheetId="2" r:id="rId2"/>
  </sheets>
  <definedNames>
    <definedName name="Excel_BuiltIn_Print_Area" localSheetId="1">'Отчет за 2021'!$A$2:$U$129</definedName>
    <definedName name="Excel_BuiltIn_Print_Titles" localSheetId="1">'Отчет за 2021'!$2:$5</definedName>
    <definedName name="Excel_BuiltIn_Print_Titles" localSheetId="0">'СВОД 2 приложение '!$3:$5</definedName>
    <definedName name="Print_Area_0" localSheetId="1">'Отчет за 2021'!$A$1:$U$129</definedName>
    <definedName name="Print_Area_0" localSheetId="0">'СВОД 2 приложение '!$A$1:$T$108</definedName>
    <definedName name="Print_Area_0_0" localSheetId="1">'Отчет за 2021'!$A$1:$U$129</definedName>
    <definedName name="Print_Area_0_0" localSheetId="0">'СВОД 2 приложение '!$A$1:$T$108</definedName>
    <definedName name="Print_Area_0_0_0" localSheetId="1">'Отчет за 2021'!$A$1:$U$129</definedName>
    <definedName name="Print_Area_0_0_0" localSheetId="0">'СВОД 2 приложение '!$A$1:$T$108</definedName>
    <definedName name="Print_Titles_0" localSheetId="1">'Отчет за 2021'!$3:$5</definedName>
    <definedName name="Print_Titles_0" localSheetId="0">'СВОД 2 приложение '!$3:$5</definedName>
    <definedName name="Print_Titles_0_0" localSheetId="1">'Отчет за 2021'!$3:$5</definedName>
    <definedName name="Print_Titles_0_0" localSheetId="0">'СВОД 2 приложение '!$3:$5</definedName>
    <definedName name="Print_Titles_0_0_0" localSheetId="1">'Отчет за 2021'!$3:$5</definedName>
    <definedName name="Print_Titles_0_0_0" localSheetId="0">'СВОД 2 приложение '!$3:$5</definedName>
    <definedName name="_xlnm.Print_Titles" localSheetId="1">'Отчет за 2021'!$4:$6</definedName>
    <definedName name="_xlnm.Print_Titles" localSheetId="0">'СВОД 2 приложение '!$3:$5</definedName>
    <definedName name="_xlnm.Print_Area" localSheetId="1">'Отчет за 2021'!$A$1:$V$131</definedName>
    <definedName name="_xlnm.Print_Area" localSheetId="0">'СВОД 2 приложение '!$A$1:$T$108</definedName>
  </definedNames>
  <calcPr calcId="145621"/>
</workbook>
</file>

<file path=xl/calcChain.xml><?xml version="1.0" encoding="utf-8"?>
<calcChain xmlns="http://schemas.openxmlformats.org/spreadsheetml/2006/main">
  <c r="T26" i="2" l="1"/>
  <c r="T25" i="2"/>
  <c r="T24" i="2"/>
  <c r="J21" i="2" l="1"/>
  <c r="K21" i="2"/>
  <c r="AA122" i="2" l="1"/>
  <c r="AA92" i="2"/>
  <c r="AA78" i="2"/>
  <c r="AA61" i="2"/>
  <c r="T104" i="2"/>
  <c r="T105" i="2"/>
  <c r="T107" i="2"/>
  <c r="T109" i="2"/>
  <c r="T110" i="2"/>
  <c r="T111" i="2"/>
  <c r="T113" i="2"/>
  <c r="T101" i="2"/>
  <c r="T103" i="2"/>
  <c r="T85" i="2"/>
  <c r="T84" i="2"/>
  <c r="T81" i="2"/>
  <c r="S67" i="2"/>
  <c r="AA123" i="2" l="1"/>
  <c r="T95" i="2" l="1"/>
  <c r="T99" i="2" l="1"/>
  <c r="S100" i="2"/>
  <c r="T100" i="2" s="1"/>
  <c r="S117" i="2" l="1"/>
  <c r="T119" i="2"/>
  <c r="T121" i="2"/>
  <c r="T122" i="2"/>
  <c r="T87" i="2" l="1"/>
  <c r="S83" i="2" l="1"/>
  <c r="T78" i="2" l="1"/>
  <c r="T69" i="2"/>
  <c r="T64" i="2"/>
  <c r="T61" i="2" l="1"/>
  <c r="T56" i="2"/>
  <c r="T51" i="2" l="1"/>
  <c r="T55" i="2"/>
  <c r="T54" i="2"/>
  <c r="T52" i="2"/>
  <c r="T50" i="2"/>
  <c r="T36" i="2"/>
  <c r="T35" i="2"/>
  <c r="T34" i="2"/>
  <c r="T30" i="2"/>
  <c r="T20" i="2"/>
  <c r="T19" i="2"/>
  <c r="S11" i="2"/>
  <c r="S14" i="2" l="1"/>
  <c r="T14" i="2" s="1"/>
  <c r="T76" i="2" l="1"/>
  <c r="E72" i="2"/>
  <c r="D72" i="2"/>
  <c r="C111" i="2"/>
  <c r="F121" i="2" l="1"/>
  <c r="J68" i="2" l="1"/>
  <c r="F117" i="2"/>
  <c r="G117" i="2"/>
  <c r="H117" i="2"/>
  <c r="I117" i="2"/>
  <c r="J117" i="2"/>
  <c r="K117" i="2"/>
  <c r="L117" i="2"/>
  <c r="M117" i="2"/>
  <c r="N117" i="2"/>
  <c r="O117" i="2"/>
  <c r="C117" i="2"/>
  <c r="B117" i="2"/>
  <c r="E113" i="2"/>
  <c r="E114" i="2"/>
  <c r="K109" i="2" l="1"/>
  <c r="J109" i="2"/>
  <c r="G109" i="2"/>
  <c r="F109" i="2"/>
  <c r="C109" i="2"/>
  <c r="C68" i="2"/>
  <c r="C78" i="2"/>
  <c r="F48" i="2" l="1"/>
  <c r="J48" i="2"/>
  <c r="F30" i="2"/>
  <c r="J30" i="2"/>
  <c r="F21" i="2"/>
  <c r="C53" i="2" l="1"/>
  <c r="T90" i="2" l="1"/>
  <c r="T91" i="2"/>
  <c r="T59" i="2"/>
  <c r="F75" i="2" l="1"/>
  <c r="F69" i="2" s="1"/>
  <c r="G75" i="2"/>
  <c r="G69" i="2" s="1"/>
  <c r="H75" i="2"/>
  <c r="I75" i="2"/>
  <c r="J75" i="2"/>
  <c r="J69" i="2" s="1"/>
  <c r="K75" i="2"/>
  <c r="K69" i="2" s="1"/>
  <c r="L75" i="2"/>
  <c r="L69" i="2" s="1"/>
  <c r="M75" i="2"/>
  <c r="M69" i="2" s="1"/>
  <c r="N75" i="2"/>
  <c r="N69" i="2" s="1"/>
  <c r="O75" i="2"/>
  <c r="O69" i="2" s="1"/>
  <c r="E74" i="2"/>
  <c r="D74" i="2"/>
  <c r="E73" i="2"/>
  <c r="D73" i="2"/>
  <c r="T71" i="2"/>
  <c r="E75" i="2" l="1"/>
  <c r="H130" i="2"/>
  <c r="H69" i="2"/>
  <c r="D75" i="2"/>
  <c r="I69" i="2"/>
  <c r="I80" i="2"/>
  <c r="I130" i="2"/>
  <c r="H80" i="2"/>
  <c r="S53" i="2" l="1"/>
  <c r="T53" i="2" s="1"/>
  <c r="C115" i="2" l="1"/>
  <c r="B115" i="2"/>
  <c r="C110" i="2"/>
  <c r="G110" i="2"/>
  <c r="H110" i="2"/>
  <c r="I110" i="2"/>
  <c r="J110" i="2"/>
  <c r="K110" i="2"/>
  <c r="L110" i="2"/>
  <c r="M110" i="2"/>
  <c r="N110" i="2"/>
  <c r="O110" i="2"/>
  <c r="F110" i="2"/>
  <c r="B110" i="2"/>
  <c r="T92" i="2" l="1"/>
  <c r="G12" i="2" l="1"/>
  <c r="H12" i="2"/>
  <c r="I12" i="2"/>
  <c r="J12" i="2"/>
  <c r="K12" i="2"/>
  <c r="L12" i="2"/>
  <c r="M12" i="2"/>
  <c r="N12" i="2"/>
  <c r="O12" i="2"/>
  <c r="F12" i="2"/>
  <c r="B36" i="2" l="1"/>
  <c r="C84" i="2" l="1"/>
  <c r="B84" i="2"/>
  <c r="F100" i="2" l="1"/>
  <c r="G100" i="2"/>
  <c r="H100" i="2"/>
  <c r="I100" i="2"/>
  <c r="J100" i="2"/>
  <c r="K100" i="2"/>
  <c r="L100" i="2"/>
  <c r="M100" i="2"/>
  <c r="N100" i="2"/>
  <c r="O100" i="2"/>
  <c r="C100" i="2" l="1"/>
  <c r="C108" i="2" s="1"/>
  <c r="C124" i="2" s="1"/>
  <c r="G84" i="2" l="1"/>
  <c r="H84" i="2"/>
  <c r="I84" i="2"/>
  <c r="J84" i="2"/>
  <c r="K84" i="2"/>
  <c r="L84" i="2"/>
  <c r="M84" i="2"/>
  <c r="N84" i="2"/>
  <c r="O84" i="2"/>
  <c r="F84" i="2"/>
  <c r="T29" i="2" l="1"/>
  <c r="T27" i="2"/>
  <c r="T23" i="2"/>
  <c r="T22" i="2"/>
  <c r="T89" i="2" l="1"/>
  <c r="T114" i="2" l="1"/>
  <c r="S66" i="2" l="1"/>
  <c r="T68" i="2"/>
  <c r="T21" i="2" l="1"/>
  <c r="E107" i="2" l="1"/>
  <c r="D107" i="2"/>
  <c r="T11" i="2" l="1"/>
  <c r="E103" i="2" l="1"/>
  <c r="D103" i="2"/>
  <c r="B100" i="2"/>
  <c r="B108" i="2" s="1"/>
  <c r="E90" i="2"/>
  <c r="D90" i="2"/>
  <c r="D92" i="2"/>
  <c r="D89" i="2"/>
  <c r="E86" i="2"/>
  <c r="E100" i="2" l="1"/>
  <c r="D100" i="2"/>
  <c r="D86" i="2"/>
  <c r="C36" i="2" l="1"/>
  <c r="G36" i="2"/>
  <c r="H36" i="2"/>
  <c r="I36" i="2"/>
  <c r="J36" i="2"/>
  <c r="K36" i="2"/>
  <c r="L36" i="2"/>
  <c r="M36" i="2"/>
  <c r="N36" i="2"/>
  <c r="O36" i="2"/>
  <c r="F36" i="2"/>
  <c r="E50" i="2"/>
  <c r="D50" i="2"/>
  <c r="G115" i="2" l="1"/>
  <c r="H115" i="2"/>
  <c r="I115" i="2"/>
  <c r="J115" i="2"/>
  <c r="K115" i="2"/>
  <c r="L115" i="2"/>
  <c r="M115" i="2"/>
  <c r="N115" i="2"/>
  <c r="O115" i="2"/>
  <c r="F115" i="2"/>
  <c r="F108" i="2"/>
  <c r="G108" i="2"/>
  <c r="H108" i="2"/>
  <c r="I108" i="2"/>
  <c r="J108" i="2"/>
  <c r="K108" i="2"/>
  <c r="L108" i="2"/>
  <c r="M108" i="2"/>
  <c r="N108" i="2"/>
  <c r="O108" i="2"/>
  <c r="T46" i="2" l="1"/>
  <c r="E112" i="2" l="1"/>
  <c r="E111" i="2"/>
  <c r="D114" i="2"/>
  <c r="D113" i="2"/>
  <c r="D112" i="2"/>
  <c r="D111" i="2"/>
  <c r="E120" i="2"/>
  <c r="E119" i="2"/>
  <c r="D120" i="2"/>
  <c r="D119" i="2"/>
  <c r="E104" i="2"/>
  <c r="E105" i="2"/>
  <c r="E106" i="2"/>
  <c r="D105" i="2"/>
  <c r="D106" i="2"/>
  <c r="D104" i="2"/>
  <c r="D117" i="2" l="1"/>
  <c r="E117" i="2"/>
  <c r="E115" i="2"/>
  <c r="D115" i="2"/>
  <c r="T96" i="2" l="1"/>
  <c r="T66" i="2" l="1"/>
  <c r="J127" i="2" l="1"/>
  <c r="K127" i="2"/>
  <c r="L127" i="2"/>
  <c r="M127" i="2"/>
  <c r="N127" i="2"/>
  <c r="O127" i="2"/>
  <c r="C127" i="2"/>
  <c r="C99" i="2"/>
  <c r="B99" i="2"/>
  <c r="M99" i="2" l="1"/>
  <c r="G99" i="2"/>
  <c r="H99" i="2"/>
  <c r="I99" i="2"/>
  <c r="J99" i="2"/>
  <c r="K99" i="2"/>
  <c r="L99" i="2"/>
  <c r="N99" i="2"/>
  <c r="O99" i="2"/>
  <c r="F99" i="2"/>
  <c r="J124" i="2"/>
  <c r="K124" i="2"/>
  <c r="F124" i="2"/>
  <c r="B124" i="2" l="1"/>
  <c r="B130" i="2" s="1"/>
  <c r="E110" i="2"/>
  <c r="C83" i="2"/>
  <c r="E61" i="2"/>
  <c r="D61" i="2"/>
  <c r="G57" i="2"/>
  <c r="H57" i="2"/>
  <c r="I57" i="2"/>
  <c r="J57" i="2"/>
  <c r="K57" i="2"/>
  <c r="L57" i="2"/>
  <c r="M57" i="2"/>
  <c r="N57" i="2"/>
  <c r="O57" i="2"/>
  <c r="F57" i="2"/>
  <c r="C57" i="2"/>
  <c r="B57" i="2"/>
  <c r="J16" i="2"/>
  <c r="K16" i="2"/>
  <c r="L16" i="2"/>
  <c r="M16" i="2"/>
  <c r="N16" i="2"/>
  <c r="O16" i="2"/>
  <c r="F16" i="2"/>
  <c r="G16" i="2"/>
  <c r="D14" i="2"/>
  <c r="E14" i="2"/>
  <c r="C16" i="2"/>
  <c r="C12" i="2"/>
  <c r="T67" i="2" l="1"/>
  <c r="E126" i="2"/>
  <c r="D126" i="2"/>
  <c r="D109" i="2"/>
  <c r="E109" i="2"/>
  <c r="D110" i="2"/>
  <c r="E92" i="2"/>
  <c r="B83" i="2"/>
  <c r="B93" i="2" s="1"/>
  <c r="B81" i="2" s="1"/>
  <c r="E78" i="2"/>
  <c r="D78" i="2"/>
  <c r="E77" i="2"/>
  <c r="D77" i="2"/>
  <c r="D76" i="2"/>
  <c r="E76" i="2"/>
  <c r="E69" i="2"/>
  <c r="D69" i="2"/>
  <c r="E68" i="2"/>
  <c r="D68" i="2"/>
  <c r="E59" i="2"/>
  <c r="D59" i="2"/>
  <c r="E60" i="2"/>
  <c r="D60" i="2"/>
  <c r="C51" i="2"/>
  <c r="E54" i="2"/>
  <c r="D54" i="2"/>
  <c r="B53" i="2"/>
  <c r="B51" i="2" s="1"/>
  <c r="D37" i="2"/>
  <c r="F20" i="2"/>
  <c r="F19" i="2" s="1"/>
  <c r="H20" i="2"/>
  <c r="H19" i="2" s="1"/>
  <c r="I20" i="2"/>
  <c r="I19" i="2" s="1"/>
  <c r="J20" i="2"/>
  <c r="J19" i="2" s="1"/>
  <c r="K20" i="2"/>
  <c r="K19" i="2" s="1"/>
  <c r="L20" i="2"/>
  <c r="L19" i="2" s="1"/>
  <c r="M20" i="2"/>
  <c r="M19" i="2" s="1"/>
  <c r="N20" i="2"/>
  <c r="N19" i="2" s="1"/>
  <c r="O20" i="2"/>
  <c r="O19" i="2" s="1"/>
  <c r="B20" i="2"/>
  <c r="B19" i="2" s="1"/>
  <c r="T58" i="2"/>
  <c r="T57" i="2"/>
  <c r="J130" i="2"/>
  <c r="K130" i="2"/>
  <c r="F130" i="2"/>
  <c r="C130" i="2"/>
  <c r="H83" i="2"/>
  <c r="I83" i="2"/>
  <c r="J83" i="2"/>
  <c r="T116" i="2"/>
  <c r="T98" i="2"/>
  <c r="T45" i="2"/>
  <c r="T10" i="2"/>
  <c r="E48" i="2"/>
  <c r="E37" i="2"/>
  <c r="D21" i="2"/>
  <c r="T83" i="2"/>
  <c r="B67" i="2"/>
  <c r="B66" i="2" s="1"/>
  <c r="B79" i="2" s="1"/>
  <c r="B64" i="2" s="1"/>
  <c r="T37" i="2"/>
  <c r="E128" i="2"/>
  <c r="D128" i="2"/>
  <c r="E34" i="2"/>
  <c r="D34" i="2"/>
  <c r="B56" i="2"/>
  <c r="E122" i="2"/>
  <c r="D122" i="2"/>
  <c r="C121" i="2"/>
  <c r="G121" i="2"/>
  <c r="H121" i="2"/>
  <c r="I121" i="2"/>
  <c r="J121" i="2"/>
  <c r="K121" i="2"/>
  <c r="L121" i="2"/>
  <c r="M121" i="2"/>
  <c r="N121" i="2"/>
  <c r="O121" i="2"/>
  <c r="B121" i="2"/>
  <c r="C116" i="2"/>
  <c r="F116" i="2"/>
  <c r="G116" i="2"/>
  <c r="H116" i="2"/>
  <c r="I116" i="2"/>
  <c r="J116" i="2"/>
  <c r="J98" i="2" s="1"/>
  <c r="J123" i="2" s="1"/>
  <c r="K116" i="2"/>
  <c r="K98" i="2" s="1"/>
  <c r="K123" i="2" s="1"/>
  <c r="L116" i="2"/>
  <c r="M116" i="2"/>
  <c r="N116" i="2"/>
  <c r="O116" i="2"/>
  <c r="B116" i="2"/>
  <c r="K83" i="2"/>
  <c r="K93" i="2" s="1"/>
  <c r="L83" i="2"/>
  <c r="L81" i="2" s="1"/>
  <c r="M83" i="2"/>
  <c r="M81" i="2" s="1"/>
  <c r="N83" i="2"/>
  <c r="O83" i="2"/>
  <c r="C81" i="2"/>
  <c r="C67" i="2"/>
  <c r="C66" i="2" s="1"/>
  <c r="F67" i="2"/>
  <c r="F66" i="2" s="1"/>
  <c r="G67" i="2"/>
  <c r="G66" i="2" s="1"/>
  <c r="H67" i="2"/>
  <c r="H66" i="2" s="1"/>
  <c r="I67" i="2"/>
  <c r="I66" i="2" s="1"/>
  <c r="J67" i="2"/>
  <c r="J66" i="2" s="1"/>
  <c r="K67" i="2"/>
  <c r="K66" i="2" s="1"/>
  <c r="L67" i="2"/>
  <c r="L66" i="2" s="1"/>
  <c r="M67" i="2"/>
  <c r="M66" i="2" s="1"/>
  <c r="N67" i="2"/>
  <c r="N66" i="2" s="1"/>
  <c r="O67" i="2"/>
  <c r="O66" i="2" s="1"/>
  <c r="C35" i="2"/>
  <c r="F35" i="2"/>
  <c r="G35" i="2"/>
  <c r="H35" i="2"/>
  <c r="I35" i="2"/>
  <c r="J35" i="2"/>
  <c r="K35" i="2"/>
  <c r="L35" i="2"/>
  <c r="M35" i="2"/>
  <c r="N35" i="2"/>
  <c r="O35" i="2"/>
  <c r="B35" i="2"/>
  <c r="E57" i="2"/>
  <c r="T44" i="2"/>
  <c r="T43" i="2"/>
  <c r="T42" i="2"/>
  <c r="T40" i="2"/>
  <c r="T39" i="2"/>
  <c r="T38" i="2"/>
  <c r="C56" i="2"/>
  <c r="O56" i="2"/>
  <c r="N56" i="2"/>
  <c r="L56" i="2"/>
  <c r="I56" i="2"/>
  <c r="H56" i="2"/>
  <c r="M56" i="2"/>
  <c r="O53" i="2"/>
  <c r="O51" i="2" s="1"/>
  <c r="N53" i="2"/>
  <c r="N51" i="2" s="1"/>
  <c r="M53" i="2"/>
  <c r="M51" i="2" s="1"/>
  <c r="L53" i="2"/>
  <c r="L51" i="2" s="1"/>
  <c r="K53" i="2"/>
  <c r="K51" i="2" s="1"/>
  <c r="J53" i="2"/>
  <c r="J51" i="2" s="1"/>
  <c r="I53" i="2"/>
  <c r="I51" i="2" s="1"/>
  <c r="H53" i="2"/>
  <c r="H51" i="2" s="1"/>
  <c r="G53" i="2"/>
  <c r="G51" i="2" s="1"/>
  <c r="F53" i="2"/>
  <c r="F51" i="2" s="1"/>
  <c r="E30" i="2"/>
  <c r="D30" i="2"/>
  <c r="B12" i="2"/>
  <c r="I16" i="2"/>
  <c r="H16" i="2"/>
  <c r="B16" i="2"/>
  <c r="T8" i="2"/>
  <c r="D48" i="2"/>
  <c r="J56" i="2"/>
  <c r="K56" i="2"/>
  <c r="D16" i="2"/>
  <c r="E16" i="2"/>
  <c r="G56" i="2"/>
  <c r="F56" i="2"/>
  <c r="F127" i="2"/>
  <c r="G127" i="2"/>
  <c r="H127" i="2"/>
  <c r="I127" i="2"/>
  <c r="B127" i="2"/>
  <c r="T9" i="2"/>
  <c r="E89" i="2"/>
  <c r="D108" i="1"/>
  <c r="C108" i="1"/>
  <c r="S107" i="1"/>
  <c r="S106" i="1"/>
  <c r="D106" i="1"/>
  <c r="C106" i="1"/>
  <c r="S105" i="1"/>
  <c r="D105" i="1"/>
  <c r="C105" i="1"/>
  <c r="S104" i="1"/>
  <c r="D104" i="1"/>
  <c r="C104" i="1"/>
  <c r="S103" i="1"/>
  <c r="D103" i="1"/>
  <c r="C103" i="1"/>
  <c r="S102" i="1"/>
  <c r="S101" i="1"/>
  <c r="S100" i="1"/>
  <c r="S99" i="1"/>
  <c r="D99" i="1"/>
  <c r="C99" i="1"/>
  <c r="S98" i="1"/>
  <c r="D98" i="1"/>
  <c r="C98" i="1"/>
  <c r="S97" i="1"/>
  <c r="D97" i="1"/>
  <c r="C97" i="1"/>
  <c r="S96" i="1"/>
  <c r="D96" i="1"/>
  <c r="C96" i="1"/>
  <c r="S95" i="1"/>
  <c r="M95" i="1"/>
  <c r="M92" i="1" s="1"/>
  <c r="L95" i="1"/>
  <c r="L92" i="1" s="1"/>
  <c r="L6" i="1" s="1"/>
  <c r="K95" i="1"/>
  <c r="K92" i="1" s="1"/>
  <c r="J95" i="1"/>
  <c r="J92" i="1"/>
  <c r="I95" i="1"/>
  <c r="I92" i="1" s="1"/>
  <c r="H95" i="1"/>
  <c r="H92" i="1"/>
  <c r="G95" i="1"/>
  <c r="G92" i="1" s="1"/>
  <c r="F95" i="1"/>
  <c r="F92" i="1"/>
  <c r="E95" i="1"/>
  <c r="E92" i="1" s="1"/>
  <c r="B95" i="1"/>
  <c r="B92" i="1"/>
  <c r="S94" i="1"/>
  <c r="U93" i="1"/>
  <c r="U94" i="1"/>
  <c r="U95" i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S93" i="1"/>
  <c r="S92" i="1"/>
  <c r="D90" i="1"/>
  <c r="C90" i="1"/>
  <c r="S89" i="1"/>
  <c r="D89" i="1"/>
  <c r="C89" i="1"/>
  <c r="U88" i="1"/>
  <c r="U89" i="1" s="1"/>
  <c r="S88" i="1"/>
  <c r="M88" i="1"/>
  <c r="M87" i="1" s="1"/>
  <c r="M6" i="1" s="1"/>
  <c r="L88" i="1"/>
  <c r="L87" i="1"/>
  <c r="K88" i="1"/>
  <c r="K87" i="1" s="1"/>
  <c r="K57" i="1" s="1"/>
  <c r="J88" i="1"/>
  <c r="J87" i="1"/>
  <c r="I88" i="1"/>
  <c r="I87" i="1" s="1"/>
  <c r="H88" i="1"/>
  <c r="H87" i="1"/>
  <c r="G88" i="1"/>
  <c r="G87" i="1" s="1"/>
  <c r="G57" i="1" s="1"/>
  <c r="F88" i="1"/>
  <c r="F87" i="1"/>
  <c r="E88" i="1"/>
  <c r="E87" i="1" s="1"/>
  <c r="E57" i="1" s="1"/>
  <c r="B88" i="1"/>
  <c r="B87" i="1"/>
  <c r="S87" i="1"/>
  <c r="S85" i="1"/>
  <c r="U84" i="1"/>
  <c r="U85" i="1"/>
  <c r="S84" i="1"/>
  <c r="D84" i="1"/>
  <c r="D83" i="1" s="1"/>
  <c r="C84" i="1"/>
  <c r="C83" i="1"/>
  <c r="S83" i="1"/>
  <c r="M83" i="1"/>
  <c r="L83" i="1"/>
  <c r="K83" i="1"/>
  <c r="J83" i="1"/>
  <c r="I83" i="1"/>
  <c r="H83" i="1"/>
  <c r="G83" i="1"/>
  <c r="F83" i="1"/>
  <c r="E83" i="1"/>
  <c r="B83" i="1"/>
  <c r="U81" i="1"/>
  <c r="U82" i="1" s="1"/>
  <c r="S81" i="1"/>
  <c r="D81" i="1"/>
  <c r="C81" i="1"/>
  <c r="S80" i="1"/>
  <c r="M80" i="1"/>
  <c r="L80" i="1"/>
  <c r="K80" i="1"/>
  <c r="J80" i="1"/>
  <c r="I80" i="1"/>
  <c r="H80" i="1"/>
  <c r="G80" i="1"/>
  <c r="F80" i="1"/>
  <c r="E80" i="1"/>
  <c r="D80" i="1"/>
  <c r="C80" i="1"/>
  <c r="B80" i="1"/>
  <c r="R79" i="1"/>
  <c r="S78" i="1"/>
  <c r="D78" i="1"/>
  <c r="D77" i="1" s="1"/>
  <c r="D59" i="1" s="1"/>
  <c r="C78" i="1"/>
  <c r="C77" i="1" s="1"/>
  <c r="S77" i="1"/>
  <c r="M77" i="1"/>
  <c r="L77" i="1"/>
  <c r="K77" i="1"/>
  <c r="J77" i="1"/>
  <c r="I77" i="1"/>
  <c r="H77" i="1"/>
  <c r="G77" i="1"/>
  <c r="F77" i="1"/>
  <c r="E77" i="1"/>
  <c r="B77" i="1"/>
  <c r="S76" i="1"/>
  <c r="D76" i="1"/>
  <c r="C76" i="1"/>
  <c r="S75" i="1"/>
  <c r="S74" i="1"/>
  <c r="S73" i="1"/>
  <c r="D73" i="1"/>
  <c r="C73" i="1"/>
  <c r="S72" i="1"/>
  <c r="S71" i="1"/>
  <c r="S70" i="1"/>
  <c r="D70" i="1"/>
  <c r="C70" i="1"/>
  <c r="S69" i="1"/>
  <c r="M69" i="1"/>
  <c r="L69" i="1"/>
  <c r="K69" i="1"/>
  <c r="J69" i="1"/>
  <c r="I69" i="1"/>
  <c r="H69" i="1"/>
  <c r="G69" i="1"/>
  <c r="F69" i="1"/>
  <c r="E69" i="1"/>
  <c r="B69" i="1"/>
  <c r="S68" i="1"/>
  <c r="D68" i="1"/>
  <c r="C68" i="1"/>
  <c r="U67" i="1"/>
  <c r="U68" i="1"/>
  <c r="U69" i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S67" i="1"/>
  <c r="D67" i="1"/>
  <c r="C67" i="1"/>
  <c r="S66" i="1"/>
  <c r="S65" i="1"/>
  <c r="S64" i="1"/>
  <c r="D64" i="1"/>
  <c r="C64" i="1"/>
  <c r="S63" i="1"/>
  <c r="S62" i="1"/>
  <c r="D62" i="1"/>
  <c r="C62" i="1"/>
  <c r="S61" i="1"/>
  <c r="M61" i="1"/>
  <c r="L61" i="1"/>
  <c r="K61" i="1"/>
  <c r="J61" i="1"/>
  <c r="I61" i="1"/>
  <c r="H61" i="1"/>
  <c r="G61" i="1"/>
  <c r="F61" i="1"/>
  <c r="E61" i="1"/>
  <c r="B61" i="1"/>
  <c r="S59" i="1"/>
  <c r="S57" i="1"/>
  <c r="S56" i="1"/>
  <c r="D56" i="1"/>
  <c r="C56" i="1"/>
  <c r="S55" i="1"/>
  <c r="D55" i="1"/>
  <c r="C55" i="1"/>
  <c r="S54" i="1"/>
  <c r="D54" i="1"/>
  <c r="C54" i="1"/>
  <c r="S53" i="1"/>
  <c r="M53" i="1"/>
  <c r="L53" i="1"/>
  <c r="K53" i="1"/>
  <c r="J53" i="1"/>
  <c r="I53" i="1"/>
  <c r="H53" i="1"/>
  <c r="G53" i="1"/>
  <c r="F53" i="1"/>
  <c r="E53" i="1"/>
  <c r="B53" i="1"/>
  <c r="S52" i="1"/>
  <c r="D52" i="1"/>
  <c r="D51" i="1" s="1"/>
  <c r="D44" i="1" s="1"/>
  <c r="D42" i="1" s="1"/>
  <c r="D39" i="1" s="1"/>
  <c r="C52" i="1"/>
  <c r="C51" i="1"/>
  <c r="M51" i="1"/>
  <c r="L51" i="1"/>
  <c r="K51" i="1"/>
  <c r="J51" i="1"/>
  <c r="I51" i="1"/>
  <c r="H51" i="1"/>
  <c r="G51" i="1"/>
  <c r="F51" i="1"/>
  <c r="E51" i="1"/>
  <c r="B51" i="1"/>
  <c r="D50" i="1"/>
  <c r="C50" i="1"/>
  <c r="D49" i="1"/>
  <c r="C49" i="1"/>
  <c r="S48" i="1"/>
  <c r="D48" i="1"/>
  <c r="C48" i="1"/>
  <c r="S47" i="1"/>
  <c r="D47" i="1"/>
  <c r="C47" i="1"/>
  <c r="S46" i="1"/>
  <c r="D46" i="1"/>
  <c r="C46" i="1"/>
  <c r="S44" i="1"/>
  <c r="S43" i="1"/>
  <c r="S42" i="1"/>
  <c r="S40" i="1"/>
  <c r="S39" i="1"/>
  <c r="S38" i="1"/>
  <c r="D37" i="1"/>
  <c r="C37" i="1"/>
  <c r="D36" i="1"/>
  <c r="C36" i="1"/>
  <c r="D35" i="1"/>
  <c r="C35" i="1"/>
  <c r="D34" i="1"/>
  <c r="C34" i="1"/>
  <c r="M33" i="1"/>
  <c r="L33" i="1"/>
  <c r="K33" i="1"/>
  <c r="J33" i="1"/>
  <c r="I33" i="1"/>
  <c r="H33" i="1"/>
  <c r="G33" i="1"/>
  <c r="F33" i="1"/>
  <c r="E33" i="1"/>
  <c r="B33" i="1"/>
  <c r="S32" i="1"/>
  <c r="D32" i="1"/>
  <c r="C32" i="1"/>
  <c r="D31" i="1"/>
  <c r="D30" i="1"/>
  <c r="C31" i="1"/>
  <c r="C30" i="1" s="1"/>
  <c r="M30" i="1"/>
  <c r="L30" i="1"/>
  <c r="K30" i="1"/>
  <c r="J30" i="1"/>
  <c r="I30" i="1"/>
  <c r="H30" i="1"/>
  <c r="G30" i="1"/>
  <c r="F30" i="1"/>
  <c r="E30" i="1"/>
  <c r="B30" i="1"/>
  <c r="S28" i="1"/>
  <c r="D28" i="1"/>
  <c r="D27" i="1"/>
  <c r="C28" i="1"/>
  <c r="C27" i="1" s="1"/>
  <c r="S27" i="1"/>
  <c r="M27" i="1"/>
  <c r="L27" i="1"/>
  <c r="K27" i="1"/>
  <c r="J27" i="1"/>
  <c r="I27" i="1"/>
  <c r="H27" i="1"/>
  <c r="G27" i="1"/>
  <c r="F27" i="1"/>
  <c r="E27" i="1"/>
  <c r="B27" i="1"/>
  <c r="S26" i="1"/>
  <c r="D26" i="1"/>
  <c r="C26" i="1"/>
  <c r="S25" i="1"/>
  <c r="D25" i="1"/>
  <c r="C25" i="1"/>
  <c r="D24" i="1"/>
  <c r="C24" i="1"/>
  <c r="S23" i="1"/>
  <c r="D23" i="1"/>
  <c r="C23" i="1"/>
  <c r="D22" i="1"/>
  <c r="C22" i="1"/>
  <c r="D21" i="1"/>
  <c r="C21" i="1"/>
  <c r="D20" i="1"/>
  <c r="C20" i="1"/>
  <c r="S18" i="1"/>
  <c r="M18" i="1"/>
  <c r="L18" i="1"/>
  <c r="K18" i="1"/>
  <c r="J18" i="1"/>
  <c r="I18" i="1"/>
  <c r="H18" i="1"/>
  <c r="G18" i="1"/>
  <c r="F18" i="1"/>
  <c r="E18" i="1"/>
  <c r="B18" i="1"/>
  <c r="S17" i="1"/>
  <c r="S16" i="1"/>
  <c r="D16" i="1"/>
  <c r="C16" i="1"/>
  <c r="S15" i="1"/>
  <c r="D15" i="1"/>
  <c r="C15" i="1"/>
  <c r="S14" i="1"/>
  <c r="S13" i="1"/>
  <c r="M13" i="1"/>
  <c r="L13" i="1"/>
  <c r="K13" i="1"/>
  <c r="J13" i="1"/>
  <c r="I13" i="1"/>
  <c r="H13" i="1"/>
  <c r="G13" i="1"/>
  <c r="F13" i="1"/>
  <c r="E13" i="1"/>
  <c r="B13" i="1"/>
  <c r="S12" i="1"/>
  <c r="S10" i="1"/>
  <c r="U9" i="1"/>
  <c r="S9" i="1"/>
  <c r="H17" i="1"/>
  <c r="B44" i="1"/>
  <c r="B42" i="1" s="1"/>
  <c r="B39" i="1" s="1"/>
  <c r="B38" i="1" s="1"/>
  <c r="G44" i="1"/>
  <c r="G42" i="1" s="1"/>
  <c r="E59" i="1"/>
  <c r="I59" i="1"/>
  <c r="I57" i="1" s="1"/>
  <c r="M59" i="1"/>
  <c r="M57" i="1" s="1"/>
  <c r="C95" i="1"/>
  <c r="C92" i="1" s="1"/>
  <c r="B17" i="1"/>
  <c r="B12" i="1" s="1"/>
  <c r="F17" i="1"/>
  <c r="D88" i="1"/>
  <c r="D87" i="1" s="1"/>
  <c r="K44" i="1"/>
  <c r="K42" i="1" s="1"/>
  <c r="J17" i="1"/>
  <c r="J12" i="1"/>
  <c r="J9" i="1" s="1"/>
  <c r="J8" i="1" s="1"/>
  <c r="G59" i="1"/>
  <c r="K59" i="1"/>
  <c r="M44" i="1"/>
  <c r="M42" i="1"/>
  <c r="M39" i="1" s="1"/>
  <c r="M38" i="1" s="1"/>
  <c r="H44" i="1"/>
  <c r="H42" i="1" s="1"/>
  <c r="F44" i="1"/>
  <c r="F42" i="1"/>
  <c r="F39" i="1" s="1"/>
  <c r="F38" i="1" s="1"/>
  <c r="J44" i="1"/>
  <c r="J42" i="1" s="1"/>
  <c r="C53" i="1"/>
  <c r="C44" i="1"/>
  <c r="C42" i="1" s="1"/>
  <c r="C39" i="1" s="1"/>
  <c r="D61" i="1"/>
  <c r="D18" i="1"/>
  <c r="L17" i="1"/>
  <c r="L12" i="1"/>
  <c r="L9" i="1"/>
  <c r="L8" i="1"/>
  <c r="H12" i="1"/>
  <c r="H9" i="1"/>
  <c r="H8" i="1"/>
  <c r="E44" i="1"/>
  <c r="E42" i="1" s="1"/>
  <c r="I44" i="1"/>
  <c r="I42" i="1" s="1"/>
  <c r="B59" i="1"/>
  <c r="B57" i="1"/>
  <c r="D69" i="1"/>
  <c r="E17" i="1"/>
  <c r="E12" i="1"/>
  <c r="I17" i="1"/>
  <c r="M17" i="1"/>
  <c r="C18" i="1"/>
  <c r="D33" i="1"/>
  <c r="D53" i="1"/>
  <c r="F59" i="1"/>
  <c r="F57" i="1"/>
  <c r="J59" i="1"/>
  <c r="J57" i="1" s="1"/>
  <c r="D95" i="1"/>
  <c r="D92" i="1" s="1"/>
  <c r="C88" i="1"/>
  <c r="C87" i="1" s="1"/>
  <c r="D13" i="1"/>
  <c r="G17" i="1"/>
  <c r="G12" i="1"/>
  <c r="K17" i="1"/>
  <c r="K12" i="1"/>
  <c r="C33" i="1"/>
  <c r="H59" i="1"/>
  <c r="H57" i="1" s="1"/>
  <c r="L59" i="1"/>
  <c r="L57" i="1" s="1"/>
  <c r="I12" i="1"/>
  <c r="M12" i="1"/>
  <c r="C69" i="1"/>
  <c r="F12" i="1"/>
  <c r="F6" i="1" s="1"/>
  <c r="C13" i="1"/>
  <c r="L44" i="1"/>
  <c r="L42" i="1"/>
  <c r="L39" i="1" s="1"/>
  <c r="C61" i="1"/>
  <c r="C59" i="1" s="1"/>
  <c r="C57" i="1" s="1"/>
  <c r="E9" i="1"/>
  <c r="E8" i="1" s="1"/>
  <c r="M9" i="1"/>
  <c r="M8" i="1" s="1"/>
  <c r="I9" i="1"/>
  <c r="I8" i="1"/>
  <c r="D17" i="1"/>
  <c r="D12" i="1"/>
  <c r="D6" i="1" s="1"/>
  <c r="F9" i="1"/>
  <c r="F8" i="1"/>
  <c r="K9" i="1"/>
  <c r="K8" i="1" s="1"/>
  <c r="G9" i="1"/>
  <c r="G8" i="1" s="1"/>
  <c r="F98" i="2"/>
  <c r="O81" i="2" l="1"/>
  <c r="O93" i="2"/>
  <c r="N81" i="2"/>
  <c r="N93" i="2"/>
  <c r="C98" i="2"/>
  <c r="C123" i="2" s="1"/>
  <c r="C96" i="2" s="1"/>
  <c r="C95" i="2" s="1"/>
  <c r="K96" i="2"/>
  <c r="K95" i="2" s="1"/>
  <c r="J96" i="2"/>
  <c r="J95" i="2" s="1"/>
  <c r="D51" i="2"/>
  <c r="E6" i="1"/>
  <c r="E39" i="1"/>
  <c r="E38" i="1" s="1"/>
  <c r="L38" i="1"/>
  <c r="B6" i="1"/>
  <c r="B9" i="1"/>
  <c r="B8" i="1" s="1"/>
  <c r="D57" i="1"/>
  <c r="C38" i="1"/>
  <c r="K6" i="1"/>
  <c r="K39" i="1"/>
  <c r="K38" i="1" s="1"/>
  <c r="G39" i="1"/>
  <c r="G38" i="1" s="1"/>
  <c r="G6" i="1"/>
  <c r="I39" i="1"/>
  <c r="I38" i="1" s="1"/>
  <c r="I6" i="1"/>
  <c r="H39" i="1"/>
  <c r="H38" i="1" s="1"/>
  <c r="H6" i="1"/>
  <c r="C17" i="1"/>
  <c r="C12" i="1" s="1"/>
  <c r="J39" i="1"/>
  <c r="J38" i="1" s="1"/>
  <c r="J6" i="1"/>
  <c r="D38" i="1"/>
  <c r="D9" i="1"/>
  <c r="D8" i="1" s="1"/>
  <c r="E116" i="2"/>
  <c r="D121" i="2"/>
  <c r="E121" i="2"/>
  <c r="D116" i="2"/>
  <c r="B98" i="2"/>
  <c r="B123" i="2" s="1"/>
  <c r="B96" i="2" s="1"/>
  <c r="B95" i="2" s="1"/>
  <c r="M93" i="2"/>
  <c r="L93" i="2"/>
  <c r="J81" i="2"/>
  <c r="J93" i="2"/>
  <c r="I81" i="2"/>
  <c r="I93" i="2"/>
  <c r="E84" i="2"/>
  <c r="H81" i="2"/>
  <c r="H93" i="2"/>
  <c r="D84" i="2"/>
  <c r="G83" i="2"/>
  <c r="F83" i="2"/>
  <c r="C93" i="2"/>
  <c r="K81" i="2"/>
  <c r="G64" i="2"/>
  <c r="G79" i="2"/>
  <c r="E56" i="2"/>
  <c r="E51" i="2"/>
  <c r="D53" i="2"/>
  <c r="E127" i="2"/>
  <c r="D20" i="2"/>
  <c r="B62" i="2"/>
  <c r="B9" i="2" s="1"/>
  <c r="B8" i="2" s="1"/>
  <c r="H62" i="2"/>
  <c r="D57" i="2"/>
  <c r="D56" i="2"/>
  <c r="E53" i="2"/>
  <c r="H79" i="2"/>
  <c r="H64" i="2"/>
  <c r="O64" i="2"/>
  <c r="O79" i="2"/>
  <c r="K64" i="2"/>
  <c r="K79" i="2"/>
  <c r="M64" i="2"/>
  <c r="M79" i="2"/>
  <c r="I62" i="2"/>
  <c r="M62" i="2"/>
  <c r="N62" i="2"/>
  <c r="E67" i="2"/>
  <c r="E66" i="2" s="1"/>
  <c r="E64" i="2" s="1"/>
  <c r="O62" i="2"/>
  <c r="D127" i="2"/>
  <c r="L62" i="2"/>
  <c r="L79" i="2"/>
  <c r="L64" i="2"/>
  <c r="I64" i="2"/>
  <c r="I79" i="2"/>
  <c r="N64" i="2"/>
  <c r="N79" i="2"/>
  <c r="D36" i="2"/>
  <c r="D19" i="2"/>
  <c r="D35" i="2"/>
  <c r="F62" i="2"/>
  <c r="F9" i="2" s="1"/>
  <c r="E36" i="2"/>
  <c r="K62" i="2"/>
  <c r="K9" i="2" s="1"/>
  <c r="D67" i="2"/>
  <c r="D66" i="2" s="1"/>
  <c r="D64" i="2" s="1"/>
  <c r="J79" i="2"/>
  <c r="J64" i="2"/>
  <c r="F64" i="2"/>
  <c r="F79" i="2"/>
  <c r="F123" i="2"/>
  <c r="C79" i="2"/>
  <c r="C64" i="2"/>
  <c r="E35" i="2"/>
  <c r="J62" i="2"/>
  <c r="D62" i="2" l="1"/>
  <c r="C6" i="1"/>
  <c r="C9" i="1"/>
  <c r="C8" i="1" s="1"/>
  <c r="K8" i="2"/>
  <c r="K129" i="2" s="1"/>
  <c r="B129" i="2"/>
  <c r="G81" i="2"/>
  <c r="E81" i="2" s="1"/>
  <c r="E83" i="2"/>
  <c r="E93" i="2" s="1"/>
  <c r="G93" i="2"/>
  <c r="F93" i="2"/>
  <c r="F81" i="2"/>
  <c r="D81" i="2" s="1"/>
  <c r="D83" i="2"/>
  <c r="D93" i="2" s="1"/>
  <c r="E79" i="2"/>
  <c r="D79" i="2"/>
  <c r="F96" i="2"/>
  <c r="J9" i="2"/>
  <c r="F8" i="2" l="1"/>
  <c r="F95" i="2"/>
  <c r="J8" i="2"/>
  <c r="F129" i="2" l="1"/>
  <c r="J129" i="2"/>
  <c r="L124" i="2" l="1"/>
  <c r="L98" i="2"/>
  <c r="L123" i="2" s="1"/>
  <c r="L96" i="2" s="1"/>
  <c r="L95" i="2" s="1"/>
  <c r="M124" i="2"/>
  <c r="M98" i="2"/>
  <c r="M123" i="2" s="1"/>
  <c r="M96" i="2" s="1"/>
  <c r="M95" i="2" s="1"/>
  <c r="O124" i="2"/>
  <c r="O98" i="2"/>
  <c r="O123" i="2" s="1"/>
  <c r="O96" i="2" s="1"/>
  <c r="O95" i="2" s="1"/>
  <c r="G98" i="2"/>
  <c r="G123" i="2" s="1"/>
  <c r="G124" i="2"/>
  <c r="G96" i="2" l="1"/>
  <c r="O130" i="2"/>
  <c r="G130" i="2"/>
  <c r="G95" i="2"/>
  <c r="L130" i="2" l="1"/>
  <c r="M130" i="2"/>
  <c r="H124" i="2"/>
  <c r="H98" i="2" l="1"/>
  <c r="H123" i="2" l="1"/>
  <c r="H96" i="2" l="1"/>
  <c r="H95" i="2" l="1"/>
  <c r="I124" i="2" l="1"/>
  <c r="E99" i="2"/>
  <c r="E108" i="2" l="1"/>
  <c r="E124" i="2"/>
  <c r="I98" i="2"/>
  <c r="I123" i="2" l="1"/>
  <c r="E98" i="2"/>
  <c r="I96" i="2" l="1"/>
  <c r="E123" i="2"/>
  <c r="I95" i="2" l="1"/>
  <c r="E96" i="2"/>
  <c r="E95" i="2" l="1"/>
  <c r="N98" i="2"/>
  <c r="N124" i="2"/>
  <c r="D108" i="2" l="1"/>
  <c r="D124" i="2"/>
  <c r="D98" i="2"/>
  <c r="N123" i="2"/>
  <c r="D99" i="2"/>
  <c r="N130" i="2" l="1"/>
  <c r="D123" i="2"/>
  <c r="N96" i="2"/>
  <c r="N95" i="2" l="1"/>
  <c r="D96" i="2"/>
  <c r="D95" i="2" l="1"/>
  <c r="C20" i="2"/>
  <c r="C19" i="2" s="1"/>
  <c r="C62" i="2" s="1"/>
  <c r="C9" i="2" s="1"/>
  <c r="C8" i="2" s="1"/>
  <c r="C129" i="2" s="1"/>
  <c r="E21" i="2"/>
  <c r="G20" i="2"/>
  <c r="G19" i="2" s="1"/>
  <c r="E19" i="2" l="1"/>
  <c r="G62" i="2"/>
  <c r="E20" i="2"/>
  <c r="G9" i="2" l="1"/>
  <c r="E62" i="2"/>
  <c r="G8" i="2" l="1"/>
  <c r="G129" i="2" l="1"/>
  <c r="E11" i="2"/>
  <c r="E10" i="2"/>
  <c r="D11" i="2"/>
  <c r="N9" i="2"/>
  <c r="N8" i="2" s="1"/>
  <c r="N129" i="2" s="1"/>
  <c r="L9" i="2"/>
  <c r="L8" i="2" s="1"/>
  <c r="L129" i="2" s="1"/>
  <c r="D10" i="2"/>
  <c r="O9" i="2"/>
  <c r="O8" i="2" s="1"/>
  <c r="O129" i="2" s="1"/>
  <c r="I9" i="2"/>
  <c r="M9" i="2"/>
  <c r="M8" i="2" s="1"/>
  <c r="M129" i="2" s="1"/>
  <c r="H9" i="2"/>
  <c r="D12" i="2" l="1"/>
  <c r="D9" i="2"/>
  <c r="E9" i="2"/>
  <c r="I8" i="2"/>
  <c r="E12" i="2"/>
  <c r="H8" i="2"/>
  <c r="H129" i="2" l="1"/>
  <c r="D130" i="2" s="1"/>
  <c r="D8" i="2"/>
  <c r="D129" i="2" s="1"/>
  <c r="I129" i="2"/>
  <c r="E130" i="2" s="1"/>
  <c r="E8" i="2"/>
  <c r="E129" i="2" s="1"/>
</calcChain>
</file>

<file path=xl/sharedStrings.xml><?xml version="1.0" encoding="utf-8"?>
<sst xmlns="http://schemas.openxmlformats.org/spreadsheetml/2006/main" count="747" uniqueCount="442">
  <si>
    <t>Отчет</t>
  </si>
  <si>
    <t>о ходе реализации государственной программы "Развитие агропромышленного комплекса Астраханской области"</t>
  </si>
  <si>
    <t>Наименование выполненных целей, задач и мероприятий государственной программы</t>
  </si>
  <si>
    <t>Объем финансирования на текущий год, утвержденный законом о бюджете Астраханской области (в последней действующей редакции)</t>
  </si>
  <si>
    <t>Всего/в знаменателе указывается сумма капвложений по всем графам</t>
  </si>
  <si>
    <t>в том числе по источникам финансирования</t>
  </si>
  <si>
    <t>Показатели результативности выполнения государственной программы</t>
  </si>
  <si>
    <t>федеральный бюджет</t>
  </si>
  <si>
    <t>бюджет Астраханской области</t>
  </si>
  <si>
    <t>местные бюджеты</t>
  </si>
  <si>
    <t>собственные средства предприятий</t>
  </si>
  <si>
    <t>другие внебюджетные источники</t>
  </si>
  <si>
    <t>получено</t>
  </si>
  <si>
    <t>освоено</t>
  </si>
  <si>
    <t>Наименование показателей непосредственного (для мероприятий) и конечного (для целей и задач) результатов</t>
  </si>
  <si>
    <t>ед. изме-рения</t>
  </si>
  <si>
    <t>значение показателя за предшествующий период (2014)</t>
  </si>
  <si>
    <t>2015 план</t>
  </si>
  <si>
    <t>2015 факт</t>
  </si>
  <si>
    <t>Примечание (краткая информация об исполнении либо о причинах неисполнения мероприятий)</t>
  </si>
  <si>
    <t>ВСЕГО ПО ГОСПРОГРАММЕ "РАЗВИТИЕ АГРОПРОМЫШЛЕННОГО КОМПЛЕКСА АСТРАХАНСКОЙ ОБЛАСТИ"</t>
  </si>
  <si>
    <t>Государственная программа «Развитие агропромышленного комплекса Астраханской области»</t>
  </si>
  <si>
    <t xml:space="preserve">Цель 1. Государственной программы. Повышение качества жизни сельского населения Астраханской области путем  улучшение инфраструктурного обустройства сельских территорий 
</t>
  </si>
  <si>
    <t>Показатель конечного результата 1. Уровень занятости сельского населения к общему числу жителей в сельской местности</t>
  </si>
  <si>
    <t>%</t>
  </si>
  <si>
    <t>По данному показателю представлено оценочное значение за 2015 год ввиду отсутствия статистических данных на отчетную дату.</t>
  </si>
  <si>
    <t xml:space="preserve">Задача 1. 1. Государственной программы. Улучшение условий жизнедеятельности в сельской местности Астраханской области </t>
  </si>
  <si>
    <t>Показатель промежуточного конечного результата 1.1.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</si>
  <si>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Показатель промежуточного конечного результата 1.1. Доля граждан, участвующих в пилотном проекте комплексной компактной застройки и грантовой поддержки на реализацию социальных инициатив от заявившихся</t>
  </si>
  <si>
    <t xml:space="preserve">Подпрограмма 1.   «Устойчивое развитие сельских территорий  Астраханской области» </t>
  </si>
  <si>
    <t xml:space="preserve">Цель 1.  Улучшение  условий жизнедеятельности в сельской местности Астраханской области         </t>
  </si>
  <si>
    <t>Показатель конечного результата 1. Средний уровень обеспеченности граждан жильем и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от общего числа нуждающегося населения</t>
  </si>
  <si>
    <t>Задача 1.1. Улучшение жилищных условий сельского населения Астраханской области, в том числе обеспечение доступным жильем молодых семей, молодых специалистов в сельской местности</t>
  </si>
  <si>
    <t>Показатели промежуточного конечного результата 1.1. Доля граждан, улучшивших жилищные условия в рамках программы, от общего числа, нуждающегося в улучшении жилищных условий населения</t>
  </si>
  <si>
    <t xml:space="preserve">   %</t>
  </si>
  <si>
    <t>Показатели промежуточного конечного результата 1.1. Ввод (приобретение) жилья</t>
  </si>
  <si>
    <t>тыс. кв. метров</t>
  </si>
  <si>
    <t>Перевыполнение показателя по вводу и приобретению жилья связано с вводом в 2015 году в эксплуатацию  переходящих объектов</t>
  </si>
  <si>
    <t>Мероприятие 1.1.1. Обеспечение комфортных жилищных условий граждан, проживающих в сельской местности Астраханской области</t>
  </si>
  <si>
    <t>Показатель непосредственного результата 1.1.1. Ввод и приобретение жилья для  граждан, проживающих в сельской местности</t>
  </si>
  <si>
    <t>тыс. кв. м.</t>
  </si>
  <si>
    <t>Мероприятие 1.1.2. Обеспечение жильем молодых семей и молодых специалистов</t>
  </si>
  <si>
    <t>Показатель непосредственного результата 1.1.2. Обеспечение доступным жильем молодых семей и молодых специалистов на селе</t>
  </si>
  <si>
    <t>тыс. кв. м</t>
  </si>
  <si>
    <t>Задача 1.2: Повышение уровня комплексного обустройства населенных пунктов, расположенных в сельской местности Астраханской области объектами социальной и инженерной инфраструктуры, автомобильными дорогами общего пользования с твердым покрытием , ведущими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</si>
  <si>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 xml:space="preserve">Показатель промежуточного конечного результата 1.2. Средний уровень обеспеченности граждан объектами социальной и инженерной инфраструктуры, автомобильными дорогами общего пользования с твердым покрытием, ведущим к ближайшим общественно значимым объектам сельских населенных пунктов, а также к объектам производства и переработки сельскохозяйственной продукции </t>
  </si>
  <si>
    <t>Мероприятие 1.2.1. Повышение уровня водоснабжения в сельской местности Астраханской области</t>
  </si>
  <si>
    <t>Показатель непосредственного результата 1.2.1. Уровень обеспеченности населения питьевой водой</t>
  </si>
  <si>
    <t>МО "Енотаевский район" Реконструкция системы водоснабжения с. Енотаевка Енотаевского района Астраханской области (капитальные вложения в объекты муниципальной собственности)</t>
  </si>
  <si>
    <t>Ввод в действие локальных водопроводов</t>
  </si>
  <si>
    <t>км</t>
  </si>
  <si>
    <t>МО "Харабалинский рвайон" Реконструкция разводящих сетей водопровода с. Сасыколи Харабалинского района Астраханской области. I этап) (капитальные вложения в объекты муниципальной собственности)</t>
  </si>
  <si>
    <t>-</t>
  </si>
  <si>
    <t>МО "Лиманский район" Реконструкция разводящих сетей водопровода в с. Промысловка Лиманского района Астраханской области (капитальные вложения в объекты муниципальной собственности)</t>
  </si>
  <si>
    <t>0 финансирование</t>
  </si>
  <si>
    <t>МО "Черноярский район" Водоснабжение села Солёное Займище Черноярского района Астраханской области (капитальные вложения в объекты муниципальной собственности)</t>
  </si>
  <si>
    <t>МО "Наримановский район" Реконструкция водопровода в с. Разночиновка Наримановского района Астраханской области (капитальные вложения в объекты муниципальной собственности)</t>
  </si>
  <si>
    <t>В связи с внесением изменений в проектно-сметную документацию вводимые мощности по объектам были изменены</t>
  </si>
  <si>
    <t>МО "Красноярский район" Строительство водовода через р. Маячная к жилому массиву с. Маячное Красноярского района Астраханской области (капитальные вложения в объекты муниципальной собственности)</t>
  </si>
  <si>
    <t>МО "Черноярский район" Водоснабжение с. Старица Черноярского района Астраханской области (капитальные вложения в объекты муниципальной собственности)</t>
  </si>
  <si>
    <t>МО "Володарский район" Водоснабжение с. Калинино Володарского района Астраханской области (капитальные вложения в объекты муниципальной собственности)</t>
  </si>
  <si>
    <t>Мероприятие  1.2.2. Повышение уровня газификации в сельской местности Астраханской области</t>
  </si>
  <si>
    <t>Показатель непосредственного результата 1.2.2. Уровень газификации домов (квартир) сетевым газом</t>
  </si>
  <si>
    <t>МО "Черноярский район" Строительство газовых сетей для газоснабжения с. Черный Яр Черноярского района Астраханской области (капитальные вложения в объекты муниципальной собственности)</t>
  </si>
  <si>
    <t>Ввод в действие распределительных газовых сетей</t>
  </si>
  <si>
    <t>МО "Харабалинский " Газификация частных жилых домовладений с. Лапас по ул. Сулейманова, ул. Мира Харабалинского района Астраханской области (капитальные вложения в объекты муниципальной собственности)</t>
  </si>
  <si>
    <t>Мероприятие  1.2.3. Мероприятия по развитию общеобразовательных организаций</t>
  </si>
  <si>
    <t>Показатель непосредственного результата 1.2.3. Ввод в действие общеобразовательных учреждений</t>
  </si>
  <si>
    <t>мест</t>
  </si>
  <si>
    <t>МО "Лиманский район" Средняя общеобразовательная школа на 675 мест а в пос. Лиман Астраханской области (капитальные вложения в объекты муниципальной собственности)</t>
  </si>
  <si>
    <t>Ввод в действие общеобразовательных учреждений</t>
  </si>
  <si>
    <t>Мероприятие  1.2.4. Развитие сети учреждений первичной медико-санитарной помощи, физической культуры и спорта в сельской местности Астраханской области</t>
  </si>
  <si>
    <t>Показатель непосредственного результата 1.2.4. Снижение уровня заболеваемости в сельской местности</t>
  </si>
  <si>
    <t>Мероприятие 1.2.5. Развитие сети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</t>
  </si>
  <si>
    <t>Общая протяженность автомобильных дорог с твердым покрытием</t>
  </si>
  <si>
    <t>МО "Красноярский район"  Строительство подъездной дороги к с. Малый Арал в Красноярском районе Астраханской области (капитальные вложения в объекты муниципальной собственности)</t>
  </si>
  <si>
    <t xml:space="preserve">Ввод в эксплуатацию автомобильных дорог </t>
  </si>
  <si>
    <t>В связи с поздним заключением Соглашения между Росавтодором и Правительством Астраханской области муниципальный контракт на строительство объекта был заключен 03.11.2015 года. Завершение работ на объекте в 1 квартале 2016 года</t>
  </si>
  <si>
    <t>МО "Камызякский район" Строительство подъездной автодороги к п. Новинский в Камызякском районе Астраханской области (капитальные вложения в объекты муниципальной собственности)</t>
  </si>
  <si>
    <t>Работы выполнены в полном объеме. В настоящий момент документ, подтверждающий ввод объекта в эксплуатацию (разрешение на ввод объекта в эксплуатацию) муниципальным образованием не представлен. Ведутся работы по подготовке документов для получения разрешения на ввод объекта в эксплуатацию</t>
  </si>
  <si>
    <t>МО "Икрянинский район" Строительство автомобильной дороги межмуниципального значения с.Трудфронт - с.Ямное Икрянинского района Астраханской области (капитальные вложения в объекты муниципальной собственности)</t>
  </si>
  <si>
    <t>Строительство подъездной автодороги к п.Обуховский в Камызякском районе</t>
  </si>
  <si>
    <t>Цель 2 государственной программы. Увеличение объемов производства и повышение качества сельскохозяйственной продукции, производимой в Астраханской области, для обеспечения продовольственной безопасности Астраханской области</t>
  </si>
  <si>
    <t>Показатель конечного результата 2. Индекс производства продукции растениеводства на орошаемых землях в хозяйствах всех категорий (в сопоставимых ценах)</t>
  </si>
  <si>
    <t xml:space="preserve">%  </t>
  </si>
  <si>
    <t>Задача 2.1. Государственной программы. Стимулирование роста производства растениеводческой продукции на мелиорируемых землях сельскохозяйственного назначения Астраханской области</t>
  </si>
  <si>
    <t>Показатель промежуточного конечного результата 1.2.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</si>
  <si>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% нарастающим итогом</t>
  </si>
  <si>
    <t>Показатель промежуточного конечного результата 1.2.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</si>
  <si>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чел./ мест</t>
  </si>
  <si>
    <t>Подпрограмма  «Развитие мелиорации земель сельскохозяйственного назначения Астраханской области»</t>
  </si>
  <si>
    <t xml:space="preserve">Цель. Повышение продуктивности и устойчивости сельскохозяйственного производства и плодородия почв путем проведения комплексной мелиорации земель сельскохозяйственного назначения  в Астраханской области </t>
  </si>
  <si>
    <t>Показатели  конечного результата. 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</t>
  </si>
  <si>
    <t>Показатель конечного результата. Сохранение существующих и создание новых высокотехнологичных рабочих мест для сельскохозяйственных товаропроизводителей за счет увеличения продуктивности существующих и вовлечения в оборот новых сельскохозяйственных угодий</t>
  </si>
  <si>
    <t>рабочих мест</t>
  </si>
  <si>
    <t>Задача 1.1. Восстановление мелиоративного фонда (мелиорируемых земель и мелиоративных систем) и повышение водообеспеченности земель сельскохозяйственного назначения Астраханской области</t>
  </si>
  <si>
    <t>Показатели промежуточного конечного результата 1.1. Ввод в эксплуатацию мелиорируемых земель за счет строительства новых,  реконструкции, технического перевооружения и капитального ремонта существующих гидромелиоративных систем</t>
  </si>
  <si>
    <t>тыс. га</t>
  </si>
  <si>
    <t>Показатели промежуточного конечного результата 1.1 Повышение водообеспеченности земель сельскохозяйственного назначения для предотвращения их выбытия из сельскохозяйственного оборота (нарастающим итогом)</t>
  </si>
  <si>
    <t>га</t>
  </si>
  <si>
    <t xml:space="preserve">Мероприятие 1.1.1. Строительство, реконструкция, техническое перевооружение  мелиоративных систем общего и индивидуального пользования и отдельно расположенных гидротехнических сооружений, принадлежащих сельскохозяйственным товаропроизводителям </t>
  </si>
  <si>
    <t>Показатель непосредственного результата 1.1.1. Площадь орошаемых земель, вводимая сельхозтоваропроизводителями в сельскохозяйственное производство в результате строительства новых, реконструкции, технического перевооружения существующих мелиоративных систем</t>
  </si>
  <si>
    <t xml:space="preserve">Мероприятие 1.1.2. Капитальный ремонт  внутрихозяйственных мелиоративных систем </t>
  </si>
  <si>
    <t>Показатель непосредственного результата 1.1.2. Площадь орошаемых земель, вводимая сельхозтоваропроизводителями в сельскохозяйственное производство в результате капитального ремонта мелиоративных систем</t>
  </si>
  <si>
    <t xml:space="preserve">тыс. га </t>
  </si>
  <si>
    <t>Мероприятие 1.1.3. Оформление в собственность  бесхозяйных мелиоративных систем и гидротехнических сооружений в случаях, предусмотренных гражданским законодательством Российской Федерации</t>
  </si>
  <si>
    <t>Показатель непосредственного результата 1.1.3. Количество оформленных в собственность бесхозяйных мелиоративных систем и  гидротехники</t>
  </si>
  <si>
    <t>ед.</t>
  </si>
  <si>
    <t>В 2015 году отсутствовало финансирование по данному направлению</t>
  </si>
  <si>
    <t>Мероприятие  1.1.4. Реконструкция насосной станции орошаемого участка «Гремучий» в Харабалинском районе</t>
  </si>
  <si>
    <t>Показатель непосредственного результата 1.1.4. Предотвращение выбытия из сельскохозяйственного оборота сельскохозяйственных угодий</t>
  </si>
  <si>
    <t>Мероприятие  1.1.5. Реконструкция плавучей насосной станции 1-го подъема с береговыми сооружениями и машинным каналом Владимировской оросительной системы в Ахтубинском районе</t>
  </si>
  <si>
    <t xml:space="preserve">Показатель непосредственного результата 1.1.5. Предотвращение выбытия из сельскохозяйственного оборота сельскохозяйственных угодий      </t>
  </si>
  <si>
    <t>Задача 1.2. Внедрение энерго-, водосберегающих технологий орошения, достижение экономии водных ресурсов за счет повышения коэффициента полезного действия мелиоративных систем Астраханской области</t>
  </si>
  <si>
    <t xml:space="preserve">Показатели промежуточного конечного результата 1.2. Площадь орошаемых земель с применением высокотехнологичных энерго-, 
водосберегающих технологий орошения, в т.ч. капельного метода
</t>
  </si>
  <si>
    <t>тыс. га/тыс.га</t>
  </si>
  <si>
    <t>41/25</t>
  </si>
  <si>
    <t>44/27</t>
  </si>
  <si>
    <t>Мероприятие 1.2.1. Выполнение научно-исследовательских и конструкторских разработок в области создания и внедрения новых энерго-, водосберегающих методов орошения и современных технологий управления водораспределением мелиоративных системах</t>
  </si>
  <si>
    <t xml:space="preserve">Показатель непосредственного результата 1.2.1. Количество выполненных и внедренных НИОКР в области современных технологий орошения и управления водораспределением на мелиоративных системах 
</t>
  </si>
  <si>
    <t>Задача 1.3. Предотвращение процессов подтопления, затопления, опустынивания территорий и выбытия из сельскохозяйственного оборота земель сельскохозяйственного назначения Астраханской области</t>
  </si>
  <si>
    <t xml:space="preserve">Показатель промежуточного конечного результата 1.3. Защита и сохранение земель сельскохозяйственного назначения и сельскохозяйственных угодий от затопления, ветровой эрозии и опустынивания, а также вовлечение в оборот выбывших сельскохозяйственных угодий 
</t>
  </si>
  <si>
    <t>Мероприятие 1.3.1. Противопаводковые мероприятия на мелиоративных объектах федеральной собственности на территориии Астраханской области расчистка и дноуглубление государственных водных трактов ФГБУ "Управление "Астраханмелиоводхоз")</t>
  </si>
  <si>
    <t xml:space="preserve">Показатель непосред-ственного          
результата 1.3.1.
Защита земель от водной эрозии, затопления и подтопления за счет проведения противопадковых мероприятий
</t>
  </si>
  <si>
    <t>Мероприятие 1.3.2.  Фитомелиоративные и агролесомелиоративные и мероприятия на землях сельскохозяйственного назначения и сельскохозяйственных угодьях Астраханской области</t>
  </si>
  <si>
    <t xml:space="preserve">Показатель непосредственного результата 1.3.2. Защита и сохранение сельскохозяйственных угодий от ветровой эрозии и опустынивания за счет проведения  агролесомелиоративных и фитомелиоративных мероприятий
</t>
  </si>
  <si>
    <t>Данный показатель не достиг планируемого значения ввиду отсутствия заявителей на данный вид господдержки</t>
  </si>
  <si>
    <t>Мероприятие  1.3.3. Культуртехнические мероприятия на землях сельскохозяйственного назначения  Астраханской области</t>
  </si>
  <si>
    <t xml:space="preserve">Показатель непосредственного результата 1.3.3 Вовлечение в оборот выбывших сельскохозяйственных угодий за счет проведения культуртехнических работ  
</t>
  </si>
  <si>
    <t>Задача 2.2. Государственной программы. Стимулирование роста  производства сельскохозяйственной продукции на основе повышения урожайности основных видов сельскохозяйственных культур и продуктивности сельскохозяйственных животных Астраханской области</t>
  </si>
  <si>
    <t xml:space="preserve"> Показатель промежуточного конечного результата 1.3. Объем валовой продукции сельского хозяйства, произведенной во всех категориях хозяйст (в фактических ценах)</t>
  </si>
  <si>
    <t>млрд  руб.</t>
  </si>
  <si>
    <t>Предварительные данные статистики за 2015 год</t>
  </si>
  <si>
    <t>ВЦП "Оказание государственной поддержки по развитию сельскохозяйственного производства в Астраханской области"</t>
  </si>
  <si>
    <t xml:space="preserve"> Цель 1. Развитие сельскохозяйственного производства в Астраханской области</t>
  </si>
  <si>
    <t>Показатель конечного результата 1. Индекс производства растениеводческой продукции (в сопоставимых ценах)</t>
  </si>
  <si>
    <t xml:space="preserve">Показатель конечного результата 1. Индекс производства животноводческой продукции (в сопоставимых ценах) </t>
  </si>
  <si>
    <t>Задача 1.1. Оказание государственной поддержки основных направлений сельскохозяйственного производства Астраханской области</t>
  </si>
  <si>
    <t>Показатель промежуточного  конечного результата 1.1. Объем инвестиций в основной капитал по виду деятельности "Сельское хозяйство"</t>
  </si>
  <si>
    <t>млн. рублей</t>
  </si>
  <si>
    <t>Данные статистики на 01.10.2015</t>
  </si>
  <si>
    <t>Мероприятие 1.1.1.  Мероприятие cубсидирование части затрат, направленных на развитие животноводства (содержание племенного маточного поголовья сельскохозяйственных животных, на приобретение племенного молодняка крупного рогатого скота, на 1 килограмм реализованного и (или) отгруженного на собственную переработку молока, по наращиванию маточного поголовья овец и коз, по наращиванию поголовья мясных табунных лошадей, на уплату страховых премий по договорам сельскохозяйственного страхования в области животноводства, на закупку кормов для содержания коров молочного стада)</t>
  </si>
  <si>
    <t xml:space="preserve">Показатель непосредственного результата 1.1.1. Объем производства молока всеми категориями хозяйств </t>
  </si>
  <si>
    <t>тыс. тонн</t>
  </si>
  <si>
    <t>Показатель непосредственного результата 1.1.1. Поголовье основным видов сельскохозяйственных животных (без учета птицы), всего</t>
  </si>
  <si>
    <t>тыс. усл. голов</t>
  </si>
  <si>
    <t>Мероприятие 1.1.2. Cубсидирование части затрат, направленных на развитие растениеводства (возмещение части затрат на приобретение элитных семян, на закладку и уход за многолетними плодовыми и ягодными насаждениями, на уплату страховых премий по договорам сельскохозяйственного страхования в сфере растениеводства, оказание несвязанной поддержки)</t>
  </si>
  <si>
    <t xml:space="preserve">Показатель непосредственного результата 1.1.2.  Площадь, засеваемая элитными семенами, в общей площади посевов </t>
  </si>
  <si>
    <t>Показатель непосредственного результата 1.1.2. Сохранение посевных площадей СХП и КФХ</t>
  </si>
  <si>
    <t>Показатель непосредственного результата 1.1.2. Площадь закладки многолетних насаждений</t>
  </si>
  <si>
    <t>Мероприятие 1.1.3. Субсидирование части затрат на приобретение сельскохозяйственной техники</t>
  </si>
  <si>
    <t>Показатель непосредственного результата 1.1.3. Количество приобретенной сельскохозяйственной техники</t>
  </si>
  <si>
    <t xml:space="preserve">Мероприятие 1.1.4. Субсидирование части затрат на уплату процентов по кредитам, полученным на развитие малых форм хозяйствования,  по краткосрочным и инвестиционным кредитам </t>
  </si>
  <si>
    <t xml:space="preserve"> Показатель непосредственного результата 1.1.4. Размер привлеченных кредитных ресурсов на развитие сельского хозяйства</t>
  </si>
  <si>
    <t>млрд. руб.</t>
  </si>
  <si>
    <t>Задача 1.2. Стимулирование развития крестьянских (фермерских) хозяйств в Астраханской области</t>
  </si>
  <si>
    <t>Показатель промежуточного конечного результата 1.2. Количество  крестьянских (фермерских) хозяйств  "Начинающий фермер" в год</t>
  </si>
  <si>
    <t xml:space="preserve"> </t>
  </si>
  <si>
    <t>Мероприятие 1.2.1. Предоставление грантов на создание и развитие крестьянского (фермерского) хозяйства и единовременной помощи на бытовое обустройство начинающим фермерам</t>
  </si>
  <si>
    <t>Показатель непосредственного результата 1.2.1. Количество созданных новых постоянных рабочих мест начинающими фермерами</t>
  </si>
  <si>
    <t>Показатель непосредственного результата 1.2.1. Выручка от реализации сельскохозяйственной продукции К(Ф)Х начинающего фермера (нарастающим итогом)</t>
  </si>
  <si>
    <t>млн руб.</t>
  </si>
  <si>
    <t>Показатель непосредственного результата 1.2.1. Количество консультаций гражданам, желающим создать К(Ф)Х</t>
  </si>
  <si>
    <t>Мероприятие 1.2.2. Предоставление грантов на развитие семейных животноводческих ферм</t>
  </si>
  <si>
    <t>Количество введенных и реконструированных семейных животноводческих ферм в год</t>
  </si>
  <si>
    <t>Показатель непосредственного результата 1.2.2. Количество созданных новых рабочих мест семейными животноводческими фермами</t>
  </si>
  <si>
    <t xml:space="preserve">Показатель непосредственного результата 1.2.2. Количество консультаций, оказанных К(Ф)Х, желающим развивать семейные животноводческие фермы  </t>
  </si>
  <si>
    <t xml:space="preserve">Мероприятие 1.2.3. Субсидирование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 </t>
  </si>
  <si>
    <t>Показатель непосредственного результата 1.2.3. Площадь оформленных земельных участков из земель с/х назначения в собственность КФХ и ИП с учетом субсидирования</t>
  </si>
  <si>
    <t>Задача 1.3. Создание условий для увеличения площадей защищенного грунта</t>
  </si>
  <si>
    <t xml:space="preserve">Общая площадь закрытого грунта, введенная в рамках программных мероприятий (нарастающим итогом) </t>
  </si>
  <si>
    <t xml:space="preserve">Мероприятие 1.3.1. Субсидирование части затрат на строительство теплиц для выращивания овощей защищенного грунта </t>
  </si>
  <si>
    <t>Всего количество тепличных хозяйств (нарастающим итогом)</t>
  </si>
  <si>
    <t>Мероприятие 1.3.2. Субсидии на возмещение части прямых понесенных затрат по созданию и модернизации тепличных комплексов</t>
  </si>
  <si>
    <t xml:space="preserve">Ввод площадей закрытого грунта в год </t>
  </si>
  <si>
    <t xml:space="preserve">Задача 1.4. Создание условий для увеличения объемов хранения, предпродажной подготовки  плодоовощной продукции и картофеля, объемов преработки плодоовощной продукции </t>
  </si>
  <si>
    <t xml:space="preserve">Объем растениеводческой продукции, заложенной на хранение          </t>
  </si>
  <si>
    <t>Мероприятие 1.4.1. Субсидирование части затрат, связанных с развитием овощеводства, бахчеводства, картофелеводства и овощеперерабатывающей промышленности (на приобретение
оборудования (систем активной вентиляции) для поддержания микроклимата с использованием камер смешения или напорных колонн, включая холодильное оборудование, и специализированной (складской) техники для хранения плодоовощной продукции (сырья) и картофеля для хранилищ объемом не менее 3000 куб. м;
оборудования для промышленной переработки плодоовощной продукции (сырья) и картофеля, включая холодильное оборудование;
оборудования для предпродажной подготовки (прием, обработка, сортировка и фасовка) плодоовощной продукции (сырья) и картофеля;
за поставку овощного сырья на предприятия Астраханской области, осуществляющие его переработку, включая собственного производства)</t>
  </si>
  <si>
    <t xml:space="preserve">Количество введенных и реконструированных овощехранилищ  (нарастающим итогом)  </t>
  </si>
  <si>
    <t>Мероприятие 1.4.2. Субсидии на возмещение части прямых понесенных затрат по созданию и модернизации плодохранилищ, картофелехранилищ, овощехранилищ и оптово-распределительных центров</t>
  </si>
  <si>
    <t>Ввод мощностей по хранению плодоовощной продукции и картофеля</t>
  </si>
  <si>
    <t xml:space="preserve">Задача 1.5. Создание условий для развития кооперации в сфере сельского хозяйства </t>
  </si>
  <si>
    <t>Количество сельскохозяйственных потребительских кооперативов, потребительских обществ, улучивших  материально-техническую базу (нарастающим итогом)</t>
  </si>
  <si>
    <t>Мероприятие 1.5.1. Предоставление грантов на развитие материально-технической базы кооперации в сфере сельского хозяйства</t>
  </si>
  <si>
    <t xml:space="preserve">Прирост реализации сельскохозяйственной продукции,  собранной кооперативами у сельхозтоваропроизводителей </t>
  </si>
  <si>
    <t>В связи с предоставлением средств государственной поддержки сельхозтоваропроизводителям в декабре 2015 года, ввод в эксплуатацию будет осуществлен только в 2016 году</t>
  </si>
  <si>
    <t>Создание новых постоянных рабочих мест</t>
  </si>
  <si>
    <t>В связи с сокращением объема средств государственной поддержки из федерального бюджета скоректирован показатель по созданию рабочих мест</t>
  </si>
  <si>
    <t>ВЦП "Экономически значимая региональная программа развития растениеводческой и перерабатывающей промышленности в Астраханской области"</t>
  </si>
  <si>
    <t>Цель 1. Создание условий для  увеличения объемов переработки и хранения плодоовощной продукции и повышения ее конкурентоспособности</t>
  </si>
  <si>
    <t xml:space="preserve">Показатель конечного результата 1. Объем переработанной плодоовощной продукции в год </t>
  </si>
  <si>
    <t xml:space="preserve">Задача 1.1. Создание условий для увеличения объемов переработки и хранения плодоовощного сырья и картофеля    </t>
  </si>
  <si>
    <t xml:space="preserve">Показатель промежуточного конечного результата 1.1. Объем производства плодоовощных консервов (в год)            </t>
  </si>
  <si>
    <t>млн. усл. банок</t>
  </si>
  <si>
    <t>Мероприятие 1.1.1. Субсидии на возмещение части затрат на приобретение технологического оборудования для промышленной переработки плодоовощного сырья и картофеля</t>
  </si>
  <si>
    <t xml:space="preserve">Показатель непосредственного результата 1.1.1. Количество модернизированных овощеперерабатывающих предприятий (нарастающим итогом) </t>
  </si>
  <si>
    <t xml:space="preserve">Мероприятие 1.1.2  Субсидии на возмещение части затрат на приобретение оборудования для хранения плодоовощной продукции (сырья) и картофеля </t>
  </si>
  <si>
    <t>ВЦП «Повышение эффективности государственного управления в сфере сельского хозяйства и рыбной промышленности Астраханской области»</t>
  </si>
  <si>
    <t>Цель 1. Повышение эффективности деятельности министерства сельского хозяйства и рыбной промышленности Астраханской области в развитии АПК</t>
  </si>
  <si>
    <t>Показатель конечного результата 1. Объем производства валовой продукции растениеводства (в фактических ценах)</t>
  </si>
  <si>
    <t>млрд рублей</t>
  </si>
  <si>
    <t xml:space="preserve">Показатель конечного результата 1. Объем производства валовой продукции животноводства (в фактических ценах) </t>
  </si>
  <si>
    <t>Показатель конечного результата 1. Объем производства валовой рыбной продукции</t>
  </si>
  <si>
    <t>Задача 1.1. Создание условий для реализации программных мероприятий государственных программ</t>
  </si>
  <si>
    <t>Показатель промежуточного конечного результата 1.1. Прирост валового объема производства сельскохозяйственной и рыбной продукции</t>
  </si>
  <si>
    <t>Мероприятие 1.1.1.  Оказание содействия в организации своевременной  сортосмены и сортообновления, создание объективных предпосылок для перехода на новые, прогрессивные методы хозяйствования и повышение уровня агротехники в растениеводстве</t>
  </si>
  <si>
    <t xml:space="preserve">Показатели непосредственного результата 1.1.1. Размер посевных площадей, засеваемых сельскохозяйственными культурами </t>
  </si>
  <si>
    <t>Мероприятие 1.1.2. Оказание содействия сельхозтоваропроизводителям по вопросам развития отрасли животноводства и осуществления государственного надзора в области племенного животноводства</t>
  </si>
  <si>
    <t>Показатели непосредственного результата 1.1.2. Доля племенного поголовья сельскохозяйственных животных в общем их поголовье</t>
  </si>
  <si>
    <t xml:space="preserve">Мероприятие 1.1.3. Оказание содействия в реализации мероприятий, направленных на развитие сельских территорий Астраханской области    </t>
  </si>
  <si>
    <t xml:space="preserve">Показатели непосредственного результата 1.1.3. Количество семей, проживающих в сельской местности, улучивших жилищные условия, в том числе молодых специалистов </t>
  </si>
  <si>
    <t>семьи</t>
  </si>
  <si>
    <t>Мероприятие 1.1.4. Обеспечение предоставления государственной поддержки сельскохозяйственным товаропроизводителям,  осуществление мониторинга, анализа и прогноза основных экономических показателей в области сельского хозяйства Астраханской области</t>
  </si>
  <si>
    <t>Показатели непосредственного результата 1.1.4. Объем государственной поддержки, оказываемой сельхозтоваропроизводителям</t>
  </si>
  <si>
    <t>Финансирование произведено в пределах заявленной потребности и бюджетных ассигнований выделенных из бюджетом Астраханское области.</t>
  </si>
  <si>
    <t>Показатели непосредственного результата 1.1.4. Доля прибыльных предприятий в общем количестве сельскохозяйственных предприятий области</t>
  </si>
  <si>
    <t>Данные представлены по итогам 9 месяцев, так как срок представления годовой отчетности до 01.04.2016</t>
  </si>
  <si>
    <t xml:space="preserve">Показатели непосредственного результата 1.1.4. Доля бюджетных ассигнований подлежащих проверке за соблюдением условий, целей и порядка , установленных при их предоставлении </t>
  </si>
  <si>
    <t>Уровень регламентации в рамках административной реформы государственных услуг, предоставляемых министерством сельского хозяйства и рыбной промышленности Астраханской области</t>
  </si>
  <si>
    <t xml:space="preserve">  Мероприятие 1.1.5. Оказание государственных услуг подведомственными  государственными учреждениями в рамках выполнения государственного задания,  направленного на повышение доли племенных сельскохозяйственных животных в их общем поголовье </t>
  </si>
  <si>
    <t>Показатели непосредственного результата 1.1.5. Поголовье сельскохозяйственных животных, обслуживаемое во всех категориях хозяйств Астраханской области</t>
  </si>
  <si>
    <t xml:space="preserve">Мероприятие 1.1.6. Оказание государственной поддержки садоводческим, огородническим и  дачным некоммерческим объединениям граждан на инженерное обеспечение территорий </t>
  </si>
  <si>
    <t>Показатели непосредственного результата 1.1.6. Количество садово-огороднических товариществ и обществ, обеспеченных инженерным обустройством в год</t>
  </si>
  <si>
    <t xml:space="preserve">Мероприятие 1.1.7. Создание продовольственных резервов для ликвидации чрезвычайных ситуаций  природного и техногенного характера </t>
  </si>
  <si>
    <t xml:space="preserve">Показатели непосредственного результата 1.1.7. Обеспеченность продовольствием на случай возникновения чрезвычайных ситуаций </t>
  </si>
  <si>
    <t>Мероприятие 1.1.8. Совершенствование  материально-технической базы министерства сельского хозяйства и рыбной промышленности Астраханской области, повышение привлекательности АПК области</t>
  </si>
  <si>
    <t>Показатели непосредственного результата 1.1.8. Количество проведенных   сельскохозяйственных выставок, конкурсов</t>
  </si>
  <si>
    <t>Показатели непосредственного результата 1.1.8. Количество молодых специалистов, трудоустроенных в организации АПК, получивших единовременную выплату</t>
  </si>
  <si>
    <t>чел.</t>
  </si>
  <si>
    <t>Мероприятие 1.1.9. Осуществление государственного регулирования в области рыболовства и сохранения водных биоресурсов</t>
  </si>
  <si>
    <t>Показатели непосредственного результата 1.1.9. Темп роста оборота организаций по виду экономической деятельности "Рыболовство, рыбоводство" к предыдущему году</t>
  </si>
  <si>
    <t>Статистические данные на отчетную дату отсутствуют</t>
  </si>
  <si>
    <t>Всего по всем источникам финансирования государственной программы</t>
  </si>
  <si>
    <t>в том числе:</t>
  </si>
  <si>
    <t xml:space="preserve">федеральный бюджет (средства, поступающие в бюджет Астраханской области) </t>
  </si>
  <si>
    <t xml:space="preserve">федеральный бюджет (средства, не поступающие в бюджет Астраханской области) </t>
  </si>
  <si>
    <t>внебюджетные источники</t>
  </si>
  <si>
    <t>Мероприятие 2. Содействие в обеспечении финансовой устойчивости при реализации инвестиционных проектов за счет субсидирования кредитных средств</t>
  </si>
  <si>
    <t>Мероприятие, направленное на осуществление исполнительным органом государственной власти Астраханской области полномочий в установленной сфере деятельности</t>
  </si>
  <si>
    <t>Объем финансирования согласно бюджетной росписи</t>
  </si>
  <si>
    <t>Относительное отклонение от планового значения</t>
  </si>
  <si>
    <t>Государственная программа  «Развитие сельского хозяйства, пищевой и рыбной промышленности Астраханской области»</t>
  </si>
  <si>
    <t>х</t>
  </si>
  <si>
    <t>ВЦП "Повышение эффективности государственного управления в сфере сельского хозяйства и рыбной промышленности Астраханской области"</t>
  </si>
  <si>
    <t>Наименование показателей, ед. измерения</t>
  </si>
  <si>
    <t>Итого по государственной программе, в том числе</t>
  </si>
  <si>
    <t>капитальные вложения</t>
  </si>
  <si>
    <t>Мероприятие 1. Содействие в обеспечении финансовой устойчивости предприятий при кредитовании оборотных средств</t>
  </si>
  <si>
    <t>Наименование целей, задач, основных мероприятий, подпрограмм, мероприятий государственной программы</t>
  </si>
  <si>
    <t>Примечание (краткая информация об исполнении либо о причинах неисполнения)</t>
  </si>
  <si>
    <t xml:space="preserve">Значение за период, предшествующий реализации государственной программы </t>
  </si>
  <si>
    <t xml:space="preserve">Планируемое значение на отчетный период </t>
  </si>
  <si>
    <t>Индекс производства продукции сельского хозяйства в хозяйствах всех категорий (в сопоставимых ценах) к предыдущему году, %</t>
  </si>
  <si>
    <t>Объем валовой продукции сельского хозяйства, произведенной во всех категориях хозяйств (в фактических ценах), млрд руб.</t>
  </si>
  <si>
    <t xml:space="preserve">Площадь обработанных отшнурованных водоемов, тыс. га </t>
  </si>
  <si>
    <t>Индекс производства продукции растениеводства в хозяйствах всех категорий (в сопоставимых ценах), в % к предыдущему году</t>
  </si>
  <si>
    <t>Объем валовой продукции растениеводства, млрд рублей</t>
  </si>
  <si>
    <t>Валовой сбор  овощей открытого грунта в сельскохозяйственных организациях, крестьянских (фермерских) хозяйствах, включая индивидуальных предпринимателей, тыс. тонн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</si>
  <si>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предпринимателей, тыс. тонн</t>
  </si>
  <si>
    <t>Доля площади, засеваемой элитными семенами, в общей площади посевов, занятых семенами сортов растений, %</t>
  </si>
  <si>
    <t>Доля площади, засеваемой гибридами F1, в общей площади посевов, %</t>
  </si>
  <si>
    <t>Валовой сбор плодов и ягод в сельскохозяйственных организациях, крестьянских (фермерских) хозяйствах, включая индивидуальных предпринимателей, тыс. тонн</t>
  </si>
  <si>
    <t>Доля застрахованной посевной (посадочной) площади в общей посевной (посадочной) площади (в условных единицах площади), %</t>
  </si>
  <si>
    <t>Индекс производства продукции животноводства в хозяйствах всех категорий (в сопоставимых ценах), в %  к предыдущему году</t>
  </si>
  <si>
    <t>Объем валовой продукции по отрасли животноводство, млрд рублей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</si>
  <si>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предпринимателей, тыс. тонн</t>
  </si>
  <si>
    <t>Объем произведенной шерсти, 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предпринимателей, реализующих такую продукцию отечественным перерабатывающим предприятиям, тыс. тонн</t>
  </si>
  <si>
    <t>Производство молока в хозяйствах всех категорий, тыс. тонн</t>
  </si>
  <si>
    <t>Производство скота и птицы на убой в хозяйствах всех категорий (в живом весе), тыс. тонн</t>
  </si>
  <si>
    <t>Доля застрахованного поголовья сельскохозяйственных животных в общем поголовье сельскохозяйственных животных, %</t>
  </si>
  <si>
    <t>Рентабельность сельскохозяйственных организаций (с учетом субсидий), %</t>
  </si>
  <si>
    <t>Среднемесячная заработная плата работников сельского хозяйства (без субъектов малого предпринимательства), тыс. рублей</t>
  </si>
  <si>
    <t>Объем ссудной задолженности по субсидируемым инвестиционным кредитам (займам), выданным на развитие агропромышленного комплекса, млн рублей</t>
  </si>
  <si>
    <t>Объем ссудной задолженности по кредитам (займам), заключенным на срок до 1 года,. млн рублей</t>
  </si>
  <si>
    <t>Фактическое значение за отчетный период</t>
  </si>
  <si>
    <t>Итого по основному мероприятию, в том числе:</t>
  </si>
  <si>
    <t>Итого по ведомственной целевой программе, в том числе:</t>
  </si>
  <si>
    <t>Итого по подпрограмме, в том числе:</t>
  </si>
  <si>
    <t>Производство яиц в сельскохозяйственных организациях, крестьянских (фермерских) хозяйствах, включая индивидуальных предпринимателей, млн. шт.</t>
  </si>
  <si>
    <t>Цель 1 государственной программы. Повышение роли Астраханской области в обеспечении продовольственной безопасности России, удовлетворение потребностей населения в сельскохозяйственной и рыбной продукции</t>
  </si>
  <si>
    <t>Задача 1.1 государственной программы. Увеличение объемов производства и реализации сельскохозяйственной продукции</t>
  </si>
  <si>
    <t>ВЦП «Развитие отраслей агропромышленного комплекса Астраханской области»</t>
  </si>
  <si>
    <t>Цель 1. Развитие отрасли растениеводства в Астраханской области</t>
  </si>
  <si>
    <t>Задача 1. Увеличение объемов производства продукции растениеводства за счет повышения урожайности основных видов сельскохозяйственных культур</t>
  </si>
  <si>
    <t>Мероприятие 1. Поддержание доходности сельскохозяйственных товаропроизводителей в области растениеводства путем содействия в проведении комплекса агротехнологических работ, повышения урожайности, снижения рисков производства</t>
  </si>
  <si>
    <t>Мероприятие 2. Стимулирование использования интенсивных технологий в целях обеспечения прироста производства растениеводческой продукции</t>
  </si>
  <si>
    <t>Цель 2. Развитие отрасли животноводства в Астраханской области</t>
  </si>
  <si>
    <t>Задача 2. Увеличение объемов производства продукции животноводства за счет повышения продуктивности сельскохозяйственных животных Астраханской области</t>
  </si>
  <si>
    <t>Мероприятие 2. Стимулирование развития приоритетных подотраслей животноводства в целях увеличения поголовья высокопродуктивных пород животных и  обеспечения прироста объемов производства животноводческой продукции</t>
  </si>
  <si>
    <t>Цель 3. Развитие малых форм хозяйствования</t>
  </si>
  <si>
    <t xml:space="preserve">Цель 4. Повышение финансовой устойчивости агропромышленного комплекса </t>
  </si>
  <si>
    <t xml:space="preserve">Цель 1.2. Повышение продуктивности и устойчивости сельскохозяйственного производства и плодородия почв путем проведения комплексной мелиорации земель сельскохозяйственного назначения Астраханской области </t>
  </si>
  <si>
    <t>Задача 1.2.1. Восстановление, сохранение и поддержание мелиоративного фонда, предотвращение выбытия из сельскохозяйственного оборота земель сельхозназначения за счет применения инновационных методов производства</t>
  </si>
  <si>
    <t>Мероприятие 1.2.1.1. Гидромелиоративные мероприятия (строительство, реконструкция и техническое перевооружение на инновационной технологической основе оросительных и осушительных систем общего и индивидуального пользования и отдельно расположенных гидротехнических сооружений)</t>
  </si>
  <si>
    <t>Мероприятие 1.2.1.2. Реконструкция (перевооружение)  насосных станций орошаемых участков, напорного трубопровода</t>
  </si>
  <si>
    <t>Мероприятие 1.2.1.3. Противопаводковые мероприятия на мелиоративных объектах федеральной собственности на территории Астраханской области, расчистка и дноуглубление государственных водных трактов ФГБУ «Управление «Астраханмелиоводхоз»)</t>
  </si>
  <si>
    <t>Подпрограмма «Развитие рыбохозяйственного комплекса Астраханской области»</t>
  </si>
  <si>
    <t>Мероприятие 1.2.1.4.  Фитомелиоративные мероприятия, направленные  на закрепления песков</t>
  </si>
  <si>
    <t>Задача 1.3 государственной программы. Обеспечение конкурентоспособности российской рыбной продукции на внутреннем и внешнем рынках</t>
  </si>
  <si>
    <t>Цель 1.3.  Создание условий для устойчивого развития рыбохозяйственного комплекса Астраханской области посредством сохранения, воспроизводства, рационального использования водных биологических ресурсов, развития аквакультуры</t>
  </si>
  <si>
    <t>Задача 1.3.1. Увеличение объемов выращивания и реализации товарной рыбы,  сохранение и увеличение ресурсной базы рыболовства</t>
  </si>
  <si>
    <t>Мероприятие 1.3.1.4. Спасение молоди рыб из отшнурованных водоемов</t>
  </si>
  <si>
    <t xml:space="preserve">Цель 2 государственной программы. Повышение качества жизни сельского населения Астраханской области </t>
  </si>
  <si>
    <t>Задача 2.1 государственной программы. Улучшение условий жизнедеятельности на сельских территориях Астраханской области</t>
  </si>
  <si>
    <t xml:space="preserve">Подпрограмма «Комплексное развитие сельских территорий  Астраханской области»  </t>
  </si>
  <si>
    <t>Задача 2.1.1.  Создание и развитие инфраструктуры на сельских территориях Астраханской области</t>
  </si>
  <si>
    <t>в том числе капитальные вложения</t>
  </si>
  <si>
    <t>Мероприятие 2.1.1.4  Реализация проектов по благоустройству сельских территорий Астраханской области</t>
  </si>
  <si>
    <t>Задача 2.1.2. Создание условий для обеспечения доступным и комфортным жильем сельского населения Астраханской области</t>
  </si>
  <si>
    <t>Мероприятие 2.1.2.1. Улучшение жилищных условий граждан, проживающих на сельских территориях Астраханской области</t>
  </si>
  <si>
    <t>Задача 2.1.3. Развитие рынка труда (кадрового потенциала) на сельских территориях Астраханской области</t>
  </si>
  <si>
    <t>Валовый сбор овощей в зимних теплицах  в сельскохозяйственных организациях, крестьянских (фермерских) хозяйствах, включая индивидуальных предпринимателей, тыс. тонн</t>
  </si>
  <si>
    <t>Размер посевных площадей, занятых бахчевыми сельскохозяйственными культурами в субъекте Российской Федерации, тыс. га</t>
  </si>
  <si>
    <t>Валовой сбор зерновых и зернобобовых культур в сельскохозяйственных организациях, крестьянских (фермерских) хозяйствах, включая индивидуальных предпринимателей, тыс. тонн</t>
  </si>
  <si>
    <t>Количество проведенных  научно-исследовательских, экспериментальных и внедренческих работ, ед.</t>
  </si>
  <si>
    <t xml:space="preserve">Прирост объема производства продукции растениеводства на мелиорируемых землях сельскохозяйственного назначения за счет реализации мероприятий подпрограммы, % нарастающим итогом </t>
  </si>
  <si>
    <t>Предотвращение выбытия из сельскохозяйственного оборота сельскохозяйственных угодий, га</t>
  </si>
  <si>
    <t xml:space="preserve">Темп роста промышленного рыболовства и производства продукции 
рыбоводства (нарастающим итогом к уровню 2013 года), %
</t>
  </si>
  <si>
    <t>Суммарный объем промышленного рыболовства и производства продукции рыбоводства, тыс. тонн</t>
  </si>
  <si>
    <t>Темп роста объема производства товарной рыбы (нарастающим итогом к уровню 2013 года), %</t>
  </si>
  <si>
    <t>Темп роста объема промышленного рыболовства (нарастающим итогом к уровню 2013 года), %</t>
  </si>
  <si>
    <t>Сохранение доли сельского населения в общей численности населения Астраханской области, %</t>
  </si>
  <si>
    <t>Повышение доли благоустроенных сельских территорий (нарастающим итогом), %</t>
  </si>
  <si>
    <t>Количество населенных пунктов, расположенных на сельских территориях Астраханской области, в которых реализованы мероприятия по созданию комфортных условий жизнедеятельности на сельских территориях (нарастающим итогом), ед.</t>
  </si>
  <si>
    <t>Ввод в эксплуатацию автомобильных дорог общего пользования с твердым покрытием, ведущих от сети автомобильных дорог общего пользования к ближайшим общественно значимым объектам сельских населенных пунктов, а также к объектам производства и переработки сельскохозяйственной продукции, км</t>
  </si>
  <si>
    <t>Количество реализованных  проектов по благоустройству сельских территорий, единиц</t>
  </si>
  <si>
    <t>Доля граждан, улучшивших жилищные условия от общего числа подавших заявление на включение в состав участников мероприятий по улучшению жилищных условий граждан, проживающих на сельских территориях, в рамках подпрограммы,   %</t>
  </si>
  <si>
    <t>Количество реализованных  проектов комплексного развития сельских территорий (сельских агломераций), единиц</t>
  </si>
  <si>
    <t>Ввод в эксплуатацию мелиорируемых земель за счет проведения гидромелиоративных мероприятий, тыс. га</t>
  </si>
  <si>
    <t>Задача 1.2 государственной программы. Проведение комплексной мелиорации земель сельскохозяйственного назначения Астраханской области</t>
  </si>
  <si>
    <t>Мероприятие  1.2.1.5. Культуртехнические мероприятия на землях сельскохозяйственного назначения  Астраханской области</t>
  </si>
  <si>
    <t>Цель 2.1. Создание комфортных условий жизнедеятельности на сельских территориях Астраханской области</t>
  </si>
  <si>
    <t>Ввод (приобретение) жилья для граждан, проживающих в сельской местности, тыс. кв. м</t>
  </si>
  <si>
    <t>Мероприятие 2.1.3.1. Оказание содействия сельскохозяйственным товаропроизводителям (кроме граждан, ведущих личные подсобные хозяйства), осуществляющим деятельность на сельских территориях, в обеспечении квалифицированными специалистами</t>
  </si>
  <si>
    <t>Численность работников, обучающихся по ученическим договорам, единиц</t>
  </si>
  <si>
    <t>Основное мероприятие по реализации регионального проекта «Экспорт продукции АПК» в рамках национального проекта «Международная кооперация и экспорт»</t>
  </si>
  <si>
    <t>Мероприятие 3. Стимулирование научных и образовательных организаций в виде грантов в форме субсидий, направленных на поддержку производства и (или) реализацию сельскохозяйственной продукции собственного производства</t>
  </si>
  <si>
    <t>Обеспечено стимулирование ввода в эксплуатацию мелиорируемых земель для выращивания экспортно ориентированной сельскохозяйственной продукции (нарастающий итог), га</t>
  </si>
  <si>
    <t>Субъекты МСП в АПК получили комплексную поддержку с момента начала предпринимательской деятельности до выхода на уровень развития, предполагающий интеграцию в более крупные единицы бизнеса, нарастающим итогом, единиц</t>
  </si>
  <si>
    <t>Прирост производства  овощей открытого грунта в сельскохозяйственных организациях, крестьянских (фермерских) хозяйствах и у индивидуальных предпринимателей, за отчетный год по отношению к показателю, предусмотренному соглашением с субъектом Российской Федерации за предыдущий год, тыс. тонн</t>
  </si>
  <si>
    <t>Численность маточного товарного поголовья крупного рогатого скота специализированных мясных пород,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предпринимателей, тыс. голов</t>
  </si>
  <si>
    <t>Численность племенного маточного поголовья сельскохозяйственных животных (в пересчете на условные головы), тыс. усл. голов</t>
  </si>
  <si>
    <t>Численность маточного товарного поголовья овец и коз (в том числе ярки и козочки от года и старше),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предпринимателей, тыс. голов</t>
  </si>
  <si>
    <t>Численность поголовья мясных табунных лошадей в сельскохозяйственных организациях, крестьянских (фермерских) хозяйствах, включая индивидуальных предпринимателей, тыс. голов</t>
  </si>
  <si>
    <t>Прирост маточного товарного поголовья  крупного рогатого скота специализированных мясных пород в сельскохозяйственных организациях, крестьянских (фермерских) хозяйствах и у индивидуальных предпринимателей за отчетный год по отношению к предыдущему году, тыс. голов</t>
  </si>
  <si>
    <t>Прирост маточного товарного поголовья овец и коз в сельскохозяйственных организациях, крестьянских (фермерских) хозяйствах и у индивидуальных предпринимателей за отчетный год по отношению к предыдущему году, тыс. голов</t>
  </si>
  <si>
    <t>Прирост объема сельскохозяйственной продукции, произведенной в отчетном году крестьянскими (фермерскими) хозяйствами и индивидуальными предпринимателями, реализующими проекты с помощью грантовой поддержки на развитие семейных ферм и гранта «Агропрогресс» за последние 5 лет (включая отчетный год) по отношению к предыдущему году, %</t>
  </si>
  <si>
    <t>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поддержку, за последние 5 лет (включая отчетный год) по отношению к предыдущему году, %</t>
  </si>
  <si>
    <t>Количество проектов развития малых форм хозяйствования, реализуемых с помощью грантовой поддержки, единиц</t>
  </si>
  <si>
    <t>Количество проектов грантополучателей, реализуемых с помощью грантовой поддержки по развитию семейных ферм и гранта «Агропрогресс», единиц</t>
  </si>
  <si>
    <t>Количество проектов грантополучателей, реализуемых с помощью грантовой поддержки на развитие материально-технической базы сельскохозяйственных потребительских кооперативов, единиц</t>
  </si>
  <si>
    <t xml:space="preserve">Мероприятие 3. Реализация инвестиционных проектов в сфере АПК на территории Астраханской области </t>
  </si>
  <si>
    <t>Количество реализуемых  инвестиционных проектов в сфере АПК на территории Астраханской области, единиц</t>
  </si>
  <si>
    <t>Площадь земель, орошаемых с применением инновационных технологий (нарастающим итогом), тыс. га</t>
  </si>
  <si>
    <t>Площадь земель, на которых проведены мелиоративные мероприятия (нарастающим итогом), тыс. га</t>
  </si>
  <si>
    <t>Размер посевных площадей, занятых зерновыми, зернобобовыми, масличными (за исключением рапса и сои) и кормовыми сельскохозяйственными культурами в сельскохозяйственных организациях, крестьянских (фермерских) хозяйствах, включая индивидуальных предпринимателей, в субъекте Российской Федерации, тыс. га</t>
  </si>
  <si>
    <t>Среднемесячная начисленная заработная плата работников по виду экономической деятельности «Сельское, лесное хозяйство, охота, рыболовство и рыбоводство», тыс. руб.</t>
  </si>
  <si>
    <t>Вовлечение в оборот выбывших мелиорированных сельскохозяйственных угодий, за счет проведения культуртехнических работ сельскохозяйственными товаропроизводителями, тыс. га</t>
  </si>
  <si>
    <t>Количество изготовленных и установленных знаков (аншлагов), ед.</t>
  </si>
  <si>
    <t>Количество сельскохозяйственных производителей, заключивших ученические договоры, единиц</t>
  </si>
  <si>
    <t>Основное мероприятие по реализации регионального проекта «Акселерация субъектов малого и среднего предпринимательства» в рамках национального проекта «Малое и среднее предпринимательство и поддержка индивидуальной предпринимательской инициативы»</t>
  </si>
  <si>
    <t>Мероприятие 1. Поддержание доходности сельскохозяйственных товаропроизводителей в области животноводства путем сохранения и увеличения поголовья основных видов сельскохозяйственных животных  и объемов производства животноводческой продукции,  снижения рисков производства в животноводстве и товарном рыбоводстве</t>
  </si>
  <si>
    <t>Защита и сохранение сельскохозяйственных угодий от ветровой эрозии и опустынивания за счет проведения  агролесомелиоративных мероприятий (площадь посадок), тыс. га</t>
  </si>
  <si>
    <t>Мероприятие 1.3.1.6.  Изготовление и установка знаков (аншлагов) в целях сохранения водных биологических ресурсов</t>
  </si>
  <si>
    <t>Задача 3. Создание условий для малых форм хозяйствования, способствующих увеличению объемов производства товарной продукции</t>
  </si>
  <si>
    <t>Мероприятие. Предоставление грантовой поддержки малым формам хозяйствования</t>
  </si>
  <si>
    <t>Задача 4. Создание условий для повышения финансовой устойчивости  предприятий АПК</t>
  </si>
  <si>
    <t xml:space="preserve">в том числе по муниципальным образованиям:
</t>
  </si>
  <si>
    <t>МО "Володарский район</t>
  </si>
  <si>
    <t xml:space="preserve">Реконструкция разводящих сетей водопровода в поселке Волжский Енотаевского района Астраханской области (капитальные вложения в объекты муниципальной собственности)
</t>
  </si>
  <si>
    <t xml:space="preserve">Ввод в действие локальных водопроводов, км
</t>
  </si>
  <si>
    <t xml:space="preserve">Приобретение автобуса ГАЗель NEXT для МБУК "Центр культуры и библиотечного обслуживания Черноярского района" в селе Черный Яр, пл. Ленина, д. 2
</t>
  </si>
  <si>
    <t xml:space="preserve">Количество приобретенного автотранспорта, единиц
</t>
  </si>
  <si>
    <t xml:space="preserve">Приобретение автобуса ГАЗель NEXT для Дома культуры с. Соленое Займище, ул. Победы, д. 2.
</t>
  </si>
  <si>
    <t xml:space="preserve">Строительство подъезда к с. Кзыл-Тан от автомобильной дороги общего пользования регионального значения Володарский - Кошеванка в Володарском районе Астраханской области (капитальные вложения в объекты муниципальной собственности)
</t>
  </si>
  <si>
    <t>Ввод в эксплуатацию автомобильных дорог, км</t>
  </si>
  <si>
    <t>Реконструкция подъездной дороги к школе с. Новоурусовка по ул. Ленина  Красноярского района Астраханской области от региональной автодороги Волгоград - Астрахань (капитальные вложения в объекты муниципальной собственности)</t>
  </si>
  <si>
    <t>Строительство автомобильной дороги межмуниципального значения с. Трудфронт - с. Ямное Икрянинского района Астраханской области (капитальные вложения в объекты муниципальной собственности)</t>
  </si>
  <si>
    <t>Количество искусственно осемененных сельскохозяйственных животных в личных подсобных хозяйствах, голов</t>
  </si>
  <si>
    <t>Объем выращенной товарной рыбы предприятиями, получившими субсидию, тонн</t>
  </si>
  <si>
    <t>Количество заключенных договоров о предоставлении рыболовных участков, ед.</t>
  </si>
  <si>
    <t>Количество рыболовных и рыбоводных участков, сформированных в соответствии с законодательством, ед.</t>
  </si>
  <si>
    <t>Строительство подъезда к с. Грушево от автомобильной дороги общего пользования регионального значения Бирюковка - Тишково в Камызякском районе Астраханской области (капитальные вложения в объекты муниципальной собственности)</t>
  </si>
  <si>
    <t>Строительство подъезда к с. Болдырево от автомобильной дороги общего пользования регионального значения Володарский - Цветное в Володарском районе Астраханской области, в том числе ПИР (капитальные вложения в объекты муниципальной собственности)</t>
  </si>
  <si>
    <t>Водоснабжение села Солёное Займище Черноярского района Астраханской области (капитальные вложения в объекты муниципальной собственности)</t>
  </si>
  <si>
    <t>Количество разработанной предпроектной и проектной (проектно-изыскательной) документации, ед.</t>
  </si>
  <si>
    <t>Площадь закладки многолетних насаждений в сельскохозяйственных организациях, крестьянских (фермерских) хозяйствах и у индивидуальных предпринимателей, тыс. га</t>
  </si>
  <si>
    <t>в том числе по объектам:</t>
  </si>
  <si>
    <t>Реконструкция головной стационарной насосной станции «Олинская», рыбозащитного устройства и рыбоотводящего канала, Лиманский район, Астраханская область</t>
  </si>
  <si>
    <t>Мероприятие 1.3.1.2.  Стимулирование предприятий рыбной отрасли на создание и модернизацию производственных мощностей по  переработке сырья из водных биологических ресурсов и объектов аквакультуры</t>
  </si>
  <si>
    <t>Прирост объёма переработанного собственными силами собственного рыбного сырья предприятиями, получившими субсидию, тонн</t>
  </si>
  <si>
    <t>Мероприятие 3. Повышение воспроизводства крупного рогатого скота и улучшение его продуктивных качеств в личных подсобных хозяйствах Астраханской области</t>
  </si>
  <si>
    <t>Мероприятие 1.3.1.1. Стимулирование предприятий рыбной отрасли на развитие глубокой переработки продукции аквакультуры, реализацию укрупненного рыбопосадочного материала и внедрение инновационных технологий аквакультуры</t>
  </si>
  <si>
    <t>Мероприятие 1.3.1.5. Определение границ рыбоводных и рыболовных участков</t>
  </si>
  <si>
    <t>Мероприятие 2.1.1.3. 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</si>
  <si>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Мероприятие 2.1.1.5. Реализация проектов комплексного развития сельских территорий (сельских агломераций), в том числе:</t>
  </si>
  <si>
    <t>Прирост населенных пунктов, расположенных на сельских территориях Астраханской области, в которых реализованы мероприятия по созданию комфортных условий жизнедеятельности на сельских территориях (нарастающим итогом), ед.</t>
  </si>
  <si>
    <t xml:space="preserve"> -</t>
  </si>
  <si>
    <t>Реконструкция насосной станции №2-69 массива, на берегу р. Трёхизбинка, Камызякский район, Астраханская область</t>
  </si>
  <si>
    <t>Реконструкция Никольской насосной станции ГНС-1, Енотаевский район, Астраханская область</t>
  </si>
  <si>
    <t>Срок ввода объекта в эксплуатацию - 2023 год</t>
  </si>
  <si>
    <t>Объект сдан в эксплуатацию. Разрешение на ввод в эксплуатацию от 13.05.2021 № 30-RU30507000-4-2021</t>
  </si>
  <si>
    <t>На объекте ведутся работы со сроком ввода в 2022 году</t>
  </si>
  <si>
    <t>2021 год - 2901,8</t>
  </si>
  <si>
    <t>МО "Наримановский район"</t>
  </si>
  <si>
    <t>о  реализации государственной программы «Развитие сельского хозяйства, пищевой и рыбной промышленности Астраханской области» за 2021 год</t>
  </si>
  <si>
    <t>Реконструкция насосной станции №3 межхозяйственной оросительной системы "Коммунар", Камызякский район, Астраханская область</t>
  </si>
  <si>
    <t>Показатель не исполнен в связи с сокращением поголовья птицы и объема производства яиц по причине выявления очага высокопатогенного гриппа птиц на ООО «Птицефабрика «Владимировская» (Ахтубинский район)</t>
  </si>
  <si>
    <t>Показатель не исполнен в связи со снижением объема производства молока в хозяйствах населения</t>
  </si>
  <si>
    <t>Оценочное значение, окончательные итоги формируются после 31 марта 2022 года.</t>
  </si>
  <si>
    <t>По состоянию на 01.01.2022 кредиты полностью погашены (обратный показатель)</t>
  </si>
  <si>
    <t>Значение показателя сформировалось по итогам производственной деятельности предприятий, получивших грантовую поддержку в 2020 году</t>
  </si>
  <si>
    <t>Заключено дополнительное соглашение  26.07.2021 № 04-01/49-3. Степень готовности объекта 38,74% согласно соглашения.</t>
  </si>
  <si>
    <t>Невыполнение показателя связано со снижением объема производства товарной аквакультуры по сравнению с плановым значением - 19,0 тыс. тонн (при плане 20,3 тыс. тонн), связанного с маловодным паводком  в период 2019-2021 гг., когда естественное заполнение водой площадей под ведение товарной аквакультуры  составляло менее 70% от нормативного объёма сброса воды.</t>
  </si>
  <si>
    <t>Объем экспорта продукции агропромышленного комплекса (в сопоставимых ценах), млн долл. США</t>
  </si>
  <si>
    <t>99,6% выполнение показателя</t>
  </si>
  <si>
    <t xml:space="preserve">Невыполнение показателя связано, в большей мере, со снижением объема экспорта транзитной продукции (не производимой в регионе), а именно, зерновых - на 54% и прочей продукции - на 84% от планового значения (в связи с увеличением экспортных пошлин, сдерживающих рост поставок) </t>
  </si>
  <si>
    <t>тыс.руб.</t>
  </si>
  <si>
    <t>Показатель достигнут</t>
  </si>
  <si>
    <t>в 7,6 раз</t>
  </si>
  <si>
    <t>в 61,8 раз</t>
  </si>
  <si>
    <t>в 3,0 раза</t>
  </si>
  <si>
    <t>в 313,5 раз</t>
  </si>
  <si>
    <t>в 9,2 раз</t>
  </si>
  <si>
    <t>в 7,1 раз</t>
  </si>
  <si>
    <t>почему оценочное?</t>
  </si>
  <si>
    <t>показатель достигнут</t>
  </si>
  <si>
    <t>почему тогда выполнение?</t>
  </si>
  <si>
    <t xml:space="preserve"> Работы выполнены в полном объеме. </t>
  </si>
  <si>
    <t>не пишем что финансирование не предусмотрено.</t>
  </si>
  <si>
    <t>в 2,8 раз</t>
  </si>
  <si>
    <t>в 33,4 раз</t>
  </si>
  <si>
    <t xml:space="preserve">По одному из запланированных объектов капитального строительства "Строительство подъезда к с. Грушево от автомобильной дороги общего пользования регионального значения Бирюковка-Тишково в Камызякском районе Астраханской области" освоение остатков лимитов не планируется. МО обязуется до 01.04.2022 представить в министерство  акт о приемки законченного строительства объекта </t>
  </si>
  <si>
    <t>добавить показатель по предпроектной документации</t>
  </si>
  <si>
    <t>в 2,2 раз</t>
  </si>
  <si>
    <t>Сдан в эксплуатацию объект "Реконструкцию головной насосной станции "Олинская", рыбозащитного устройства и рыботоводящего канала" (Лиманский район).Ведутся работы на 3 объектах капитального строительства. Со сроком сдачи в эксплуатацию в 2023 году</t>
  </si>
  <si>
    <t>Соглашение заключено 21.09.2021 № 03/ДДХ-3. Освоение остатков лимитов не планируется. МО обязуется до 01.04.2022 представить в министерство  акт о приемке законченного строительства объекта</t>
  </si>
  <si>
    <t xml:space="preserve">Защита земель от водной эрозии, затопления и подтопления за счет проведения противопаводковых мероприятий, тыс. га
</t>
  </si>
  <si>
    <t>Объем товарной рыбы, направленной на глубокую переработку предприятиями, получившими субсидию, тыс. тонн</t>
  </si>
  <si>
    <t>98% выполнения</t>
  </si>
  <si>
    <t>Количество 
разработанной  предпроектной  и
проектной  (проектно-
изыскательной) документации, ед.</t>
  </si>
  <si>
    <t>в 2,0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</si>
</sst>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"/>
    <numFmt numFmtId="165" formatCode="0.000"/>
    <numFmt numFmtId="166" formatCode="0.000000"/>
    <numFmt numFmtId="167" formatCode="0.00000"/>
    <numFmt numFmtId="168" formatCode="#,##0.0"/>
    <numFmt numFmtId="169" formatCode="#,##0.000"/>
  </numFmts>
  <fonts count="4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Calibri"/>
      <family val="2"/>
      <charset val="204"/>
    </font>
    <font>
      <sz val="20"/>
      <name val="Times New Roman"/>
      <family val="1"/>
      <charset val="204"/>
    </font>
    <font>
      <b/>
      <i/>
      <sz val="11"/>
      <name val="Calibri"/>
      <family val="2"/>
      <charset val="204"/>
    </font>
    <font>
      <i/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sz val="18"/>
      <name val="Calibri"/>
      <family val="2"/>
      <charset val="204"/>
    </font>
    <font>
      <b/>
      <sz val="18"/>
      <name val="Calibri"/>
      <family val="2"/>
      <charset val="204"/>
    </font>
    <font>
      <sz val="20"/>
      <name val="Calibri"/>
      <family val="2"/>
      <charset val="204"/>
    </font>
    <font>
      <b/>
      <sz val="20"/>
      <name val="Calibri"/>
      <family val="2"/>
      <charset val="204"/>
    </font>
    <font>
      <b/>
      <i/>
      <sz val="20"/>
      <name val="Calibri"/>
      <family val="2"/>
      <charset val="204"/>
    </font>
    <font>
      <i/>
      <sz val="20"/>
      <name val="Calibri"/>
      <family val="2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</font>
    <font>
      <sz val="13.5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name val="Calibri"/>
      <family val="2"/>
      <charset val="204"/>
    </font>
    <font>
      <sz val="2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CC99"/>
        <bgColor rgb="FFFFCCCC"/>
      </patternFill>
    </fill>
    <fill>
      <patternFill patternType="solid">
        <fgColor rgb="FFFF99CC"/>
        <bgColor rgb="FFFF8080"/>
      </patternFill>
    </fill>
    <fill>
      <patternFill patternType="solid">
        <fgColor rgb="FF99CC00"/>
        <bgColor rgb="FFD2D02B"/>
      </patternFill>
    </fill>
    <fill>
      <patternFill patternType="solid">
        <fgColor rgb="FFFF0000"/>
        <bgColor rgb="FFCC0000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7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3" borderId="0" xfId="0" applyFill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0" borderId="0" xfId="0" applyFont="1"/>
    <xf numFmtId="0" fontId="5" fillId="3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0" xfId="0" applyFont="1" applyFill="1"/>
    <xf numFmtId="1" fontId="5" fillId="5" borderId="2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0" fillId="6" borderId="0" xfId="0" applyFill="1"/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 wrapText="1"/>
    </xf>
    <xf numFmtId="165" fontId="5" fillId="3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4" fontId="5" fillId="7" borderId="7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2" fontId="5" fillId="3" borderId="2" xfId="1" applyNumberFormat="1" applyFont="1" applyFill="1" applyBorder="1" applyAlignment="1">
      <alignment horizontal="center" vertical="center" wrapText="1"/>
    </xf>
    <xf numFmtId="2" fontId="5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164" fontId="12" fillId="0" borderId="2" xfId="1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5" fontId="16" fillId="0" borderId="9" xfId="0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3" fillId="0" borderId="9" xfId="1" applyNumberFormat="1" applyFont="1" applyFill="1" applyBorder="1" applyAlignment="1">
      <alignment horizontal="center" vertical="center" wrapText="1"/>
    </xf>
    <xf numFmtId="2" fontId="16" fillId="0" borderId="9" xfId="1" applyNumberFormat="1" applyFont="1" applyFill="1" applyBorder="1" applyAlignment="1">
      <alignment horizontal="center" vertical="center" wrapText="1"/>
    </xf>
    <xf numFmtId="2" fontId="13" fillId="0" borderId="9" xfId="1" applyNumberFormat="1" applyFont="1" applyFill="1" applyBorder="1" applyAlignment="1">
      <alignment horizontal="center" vertical="center" wrapText="1"/>
    </xf>
    <xf numFmtId="164" fontId="35" fillId="0" borderId="9" xfId="0" applyNumberFormat="1" applyFont="1" applyFill="1" applyBorder="1" applyAlignment="1">
      <alignment horizontal="center" vertical="center" wrapText="1"/>
    </xf>
    <xf numFmtId="2" fontId="35" fillId="0" borderId="9" xfId="0" applyNumberFormat="1" applyFont="1" applyFill="1" applyBorder="1" applyAlignment="1">
      <alignment horizontal="center" vertical="center" wrapText="1"/>
    </xf>
    <xf numFmtId="2" fontId="36" fillId="0" borderId="9" xfId="0" applyNumberFormat="1" applyFont="1" applyFill="1" applyBorder="1" applyAlignment="1">
      <alignment horizontal="center" vertical="center" wrapText="1"/>
    </xf>
    <xf numFmtId="165" fontId="38" fillId="0" borderId="9" xfId="0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0" fontId="15" fillId="0" borderId="0" xfId="0" applyFont="1" applyFill="1" applyBorder="1"/>
    <xf numFmtId="0" fontId="30" fillId="0" borderId="0" xfId="0" applyFont="1" applyFill="1" applyBorder="1"/>
    <xf numFmtId="0" fontId="25" fillId="0" borderId="0" xfId="0" applyFont="1" applyFill="1" applyBorder="1" applyAlignment="1">
      <alignment horizontal="left" wrapText="1"/>
    </xf>
    <xf numFmtId="0" fontId="31" fillId="0" borderId="0" xfId="0" applyFont="1" applyFill="1" applyBorder="1"/>
    <xf numFmtId="0" fontId="20" fillId="0" borderId="0" xfId="0" applyFont="1" applyFill="1" applyBorder="1"/>
    <xf numFmtId="0" fontId="23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wrapText="1"/>
    </xf>
    <xf numFmtId="0" fontId="32" fillId="0" borderId="0" xfId="0" applyFont="1" applyFill="1" applyBorder="1"/>
    <xf numFmtId="0" fontId="22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167" fontId="16" fillId="0" borderId="0" xfId="0" applyNumberFormat="1" applyFont="1" applyFill="1" applyBorder="1" applyAlignment="1">
      <alignment horizontal="justify" vertical="center" wrapText="1"/>
    </xf>
    <xf numFmtId="167" fontId="24" fillId="0" borderId="0" xfId="0" applyNumberFormat="1" applyFont="1" applyFill="1" applyBorder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167" fontId="25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/>
    <xf numFmtId="0" fontId="2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wrapText="1"/>
    </xf>
    <xf numFmtId="4" fontId="35" fillId="0" borderId="9" xfId="0" applyNumberFormat="1" applyFont="1" applyFill="1" applyBorder="1" applyAlignment="1">
      <alignment horizontal="center" vertical="center" wrapText="1"/>
    </xf>
    <xf numFmtId="167" fontId="16" fillId="0" borderId="9" xfId="0" applyNumberFormat="1" applyFont="1" applyFill="1" applyBorder="1" applyAlignment="1">
      <alignment horizontal="left" vertical="center" wrapText="1"/>
    </xf>
    <xf numFmtId="2" fontId="16" fillId="0" borderId="9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164" fontId="16" fillId="0" borderId="9" xfId="0" applyNumberFormat="1" applyFont="1" applyFill="1" applyBorder="1" applyAlignment="1">
      <alignment horizontal="center" vertical="center" wrapText="1"/>
    </xf>
    <xf numFmtId="166" fontId="36" fillId="0" borderId="9" xfId="0" applyNumberFormat="1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166" fontId="35" fillId="0" borderId="9" xfId="0" applyNumberFormat="1" applyFont="1" applyFill="1" applyBorder="1" applyAlignment="1">
      <alignment horizontal="center" vertical="center" wrapText="1"/>
    </xf>
    <xf numFmtId="165" fontId="36" fillId="0" borderId="9" xfId="0" applyNumberFormat="1" applyFont="1" applyFill="1" applyBorder="1" applyAlignment="1">
      <alignment horizontal="center" vertical="center" wrapText="1"/>
    </xf>
    <xf numFmtId="167" fontId="36" fillId="0" borderId="9" xfId="0" applyNumberFormat="1" applyFont="1" applyFill="1" applyBorder="1" applyAlignment="1">
      <alignment horizontal="center" vertical="center" wrapText="1"/>
    </xf>
    <xf numFmtId="165" fontId="36" fillId="0" borderId="0" xfId="1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36" fillId="0" borderId="9" xfId="0" applyNumberFormat="1" applyFont="1" applyFill="1" applyBorder="1" applyAlignment="1">
      <alignment horizontal="center" vertical="center" wrapText="1"/>
    </xf>
    <xf numFmtId="167" fontId="35" fillId="0" borderId="9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165" fontId="41" fillId="0" borderId="0" xfId="1" applyNumberFormat="1" applyFont="1" applyFill="1" applyBorder="1" applyAlignment="1">
      <alignment horizontal="center" vertical="center" wrapText="1"/>
    </xf>
    <xf numFmtId="0" fontId="27" fillId="0" borderId="0" xfId="0" applyFont="1" applyFill="1" applyBorder="1"/>
    <xf numFmtId="166" fontId="16" fillId="0" borderId="9" xfId="0" applyNumberFormat="1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vertical="center" wrapText="1"/>
    </xf>
    <xf numFmtId="0" fontId="29" fillId="0" borderId="0" xfId="0" applyFont="1" applyFill="1"/>
    <xf numFmtId="0" fontId="19" fillId="0" borderId="0" xfId="0" applyFont="1" applyFill="1" applyBorder="1" applyAlignment="1">
      <alignment horizontal="left" wrapText="1"/>
    </xf>
    <xf numFmtId="165" fontId="16" fillId="0" borderId="5" xfId="0" applyNumberFormat="1" applyFont="1" applyFill="1" applyBorder="1" applyAlignment="1">
      <alignment horizontal="center" vertical="center" wrapText="1"/>
    </xf>
    <xf numFmtId="169" fontId="16" fillId="0" borderId="9" xfId="0" applyNumberFormat="1" applyFont="1" applyFill="1" applyBorder="1" applyAlignment="1">
      <alignment horizontal="center" vertical="center" wrapText="1"/>
    </xf>
    <xf numFmtId="168" fontId="35" fillId="0" borderId="8" xfId="0" applyNumberFormat="1" applyFont="1" applyFill="1" applyBorder="1" applyAlignment="1">
      <alignment vertical="center" wrapText="1"/>
    </xf>
    <xf numFmtId="168" fontId="35" fillId="0" borderId="7" xfId="0" applyNumberFormat="1" applyFont="1" applyFill="1" applyBorder="1" applyAlignment="1">
      <alignment vertical="center" wrapText="1"/>
    </xf>
    <xf numFmtId="168" fontId="13" fillId="0" borderId="9" xfId="2" applyNumberFormat="1" applyFont="1" applyFill="1" applyBorder="1" applyAlignment="1">
      <alignment horizontal="center" vertical="center" wrapText="1"/>
    </xf>
    <xf numFmtId="168" fontId="35" fillId="0" borderId="11" xfId="2" applyNumberFormat="1" applyFont="1" applyFill="1" applyBorder="1" applyAlignment="1">
      <alignment vertical="center" wrapText="1"/>
    </xf>
    <xf numFmtId="168" fontId="35" fillId="0" borderId="6" xfId="2" applyNumberFormat="1" applyFont="1" applyFill="1" applyBorder="1" applyAlignment="1">
      <alignment vertical="center" wrapText="1"/>
    </xf>
    <xf numFmtId="168" fontId="35" fillId="0" borderId="9" xfId="0" applyNumberFormat="1" applyFont="1" applyFill="1" applyBorder="1" applyAlignment="1">
      <alignment horizontal="center" vertical="center" wrapText="1"/>
    </xf>
    <xf numFmtId="168" fontId="21" fillId="0" borderId="9" xfId="0" applyNumberFormat="1" applyFont="1" applyFill="1" applyBorder="1" applyAlignment="1">
      <alignment horizontal="center" vertical="center" wrapText="1"/>
    </xf>
    <xf numFmtId="168" fontId="13" fillId="0" borderId="9" xfId="0" applyNumberFormat="1" applyFont="1" applyFill="1" applyBorder="1" applyAlignment="1">
      <alignment horizontal="center" vertical="center"/>
    </xf>
    <xf numFmtId="168" fontId="43" fillId="0" borderId="0" xfId="0" applyNumberFormat="1" applyFont="1" applyFill="1" applyBorder="1" applyAlignment="1">
      <alignment horizontal="center" vertical="center"/>
    </xf>
    <xf numFmtId="168" fontId="35" fillId="0" borderId="0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vertical="center"/>
    </xf>
    <xf numFmtId="168" fontId="2" fillId="0" borderId="0" xfId="0" applyNumberFormat="1" applyFont="1" applyFill="1" applyBorder="1"/>
    <xf numFmtId="4" fontId="24" fillId="0" borderId="0" xfId="0" applyNumberFormat="1" applyFont="1" applyFill="1" applyBorder="1" applyAlignment="1">
      <alignment horizontal="left" wrapText="1"/>
    </xf>
    <xf numFmtId="4" fontId="30" fillId="0" borderId="0" xfId="0" applyNumberFormat="1" applyFont="1" applyFill="1" applyBorder="1"/>
    <xf numFmtId="4" fontId="15" fillId="0" borderId="0" xfId="0" applyNumberFormat="1" applyFont="1" applyFill="1" applyBorder="1"/>
    <xf numFmtId="168" fontId="36" fillId="0" borderId="9" xfId="0" applyNumberFormat="1" applyFont="1" applyFill="1" applyBorder="1" applyAlignment="1">
      <alignment horizontal="center" vertical="center" wrapText="1"/>
    </xf>
    <xf numFmtId="168" fontId="16" fillId="0" borderId="9" xfId="1" applyNumberFormat="1" applyFont="1" applyFill="1" applyBorder="1" applyAlignment="1">
      <alignment horizontal="center" vertical="center" wrapText="1"/>
    </xf>
    <xf numFmtId="168" fontId="35" fillId="0" borderId="9" xfId="1" applyNumberFormat="1" applyFont="1" applyFill="1" applyBorder="1" applyAlignment="1">
      <alignment horizontal="center" vertical="center" wrapText="1"/>
    </xf>
    <xf numFmtId="168" fontId="13" fillId="0" borderId="9" xfId="1" applyNumberFormat="1" applyFont="1" applyFill="1" applyBorder="1" applyAlignment="1">
      <alignment horizontal="center" vertical="center" wrapText="1"/>
    </xf>
    <xf numFmtId="168" fontId="36" fillId="0" borderId="9" xfId="1" applyNumberFormat="1" applyFont="1" applyFill="1" applyBorder="1" applyAlignment="1">
      <alignment horizontal="center" vertical="center" wrapText="1"/>
    </xf>
    <xf numFmtId="168" fontId="40" fillId="0" borderId="0" xfId="1" applyNumberFormat="1" applyFont="1" applyFill="1" applyBorder="1" applyAlignment="1">
      <alignment horizontal="left" vertical="center" wrapText="1"/>
    </xf>
    <xf numFmtId="168" fontId="41" fillId="0" borderId="0" xfId="1" applyNumberFormat="1" applyFont="1" applyFill="1" applyBorder="1" applyAlignment="1">
      <alignment horizontal="left" vertical="center" wrapText="1"/>
    </xf>
    <xf numFmtId="168" fontId="13" fillId="0" borderId="0" xfId="1" applyNumberFormat="1" applyFont="1" applyFill="1" applyBorder="1" applyAlignment="1">
      <alignment horizontal="left" vertical="center" wrapText="1"/>
    </xf>
    <xf numFmtId="168" fontId="36" fillId="0" borderId="0" xfId="1" applyNumberFormat="1" applyFont="1" applyFill="1" applyBorder="1" applyAlignment="1">
      <alignment horizontal="left" vertical="center" wrapText="1"/>
    </xf>
    <xf numFmtId="168" fontId="14" fillId="0" borderId="0" xfId="0" applyNumberFormat="1" applyFont="1" applyFill="1" applyBorder="1"/>
    <xf numFmtId="168" fontId="37" fillId="0" borderId="0" xfId="0" applyNumberFormat="1" applyFont="1" applyFill="1" applyBorder="1"/>
    <xf numFmtId="168" fontId="3" fillId="0" borderId="0" xfId="0" applyNumberFormat="1" applyFont="1" applyFill="1" applyBorder="1"/>
    <xf numFmtId="0" fontId="45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left" wrapText="1"/>
    </xf>
    <xf numFmtId="169" fontId="16" fillId="0" borderId="9" xfId="1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2" fontId="46" fillId="0" borderId="9" xfId="0" applyNumberFormat="1" applyFont="1" applyFill="1" applyBorder="1" applyAlignment="1">
      <alignment horizontal="center" vertical="center" wrapText="1"/>
    </xf>
    <xf numFmtId="168" fontId="16" fillId="0" borderId="6" xfId="0" applyNumberFormat="1" applyFont="1" applyFill="1" applyBorder="1" applyAlignment="1">
      <alignment horizontal="center" vertical="center" wrapText="1"/>
    </xf>
    <xf numFmtId="168" fontId="13" fillId="0" borderId="9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2" fontId="16" fillId="0" borderId="6" xfId="0" applyNumberFormat="1" applyFont="1" applyFill="1" applyBorder="1" applyAlignment="1">
      <alignment horizontal="left" vertical="center" wrapText="1"/>
    </xf>
    <xf numFmtId="168" fontId="16" fillId="0" borderId="9" xfId="0" applyNumberFormat="1" applyFont="1" applyFill="1" applyBorder="1" applyAlignment="1">
      <alignment horizontal="center" vertical="center" wrapText="1"/>
    </xf>
    <xf numFmtId="167" fontId="16" fillId="0" borderId="9" xfId="0" applyNumberFormat="1" applyFont="1" applyFill="1" applyBorder="1" applyAlignment="1">
      <alignment horizontal="center" vertical="center" wrapText="1"/>
    </xf>
    <xf numFmtId="167" fontId="16" fillId="0" borderId="3" xfId="0" applyNumberFormat="1" applyFont="1" applyFill="1" applyBorder="1" applyAlignment="1">
      <alignment horizontal="center" vertical="center" wrapText="1"/>
    </xf>
    <xf numFmtId="167" fontId="16" fillId="0" borderId="11" xfId="0" applyNumberFormat="1" applyFont="1" applyFill="1" applyBorder="1" applyAlignment="1">
      <alignment horizontal="center" vertical="center" wrapText="1"/>
    </xf>
    <xf numFmtId="167" fontId="16" fillId="0" borderId="6" xfId="0" applyNumberFormat="1" applyFont="1" applyFill="1" applyBorder="1" applyAlignment="1">
      <alignment horizontal="center" vertical="center" wrapText="1"/>
    </xf>
    <xf numFmtId="168" fontId="16" fillId="0" borderId="9" xfId="2" applyNumberFormat="1" applyFont="1" applyFill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center" vertical="center" wrapText="1"/>
    </xf>
    <xf numFmtId="165" fontId="16" fillId="0" borderId="6" xfId="0" applyNumberFormat="1" applyFont="1" applyFill="1" applyBorder="1" applyAlignment="1">
      <alignment horizontal="center" vertical="center" wrapText="1"/>
    </xf>
    <xf numFmtId="167" fontId="16" fillId="0" borderId="11" xfId="0" applyNumberFormat="1" applyFont="1" applyFill="1" applyBorder="1" applyAlignment="1">
      <alignment horizontal="left" vertical="center" wrapText="1"/>
    </xf>
    <xf numFmtId="4" fontId="16" fillId="0" borderId="11" xfId="0" applyNumberFormat="1" applyFont="1" applyFill="1" applyBorder="1" applyAlignment="1">
      <alignment vertical="center" wrapText="1"/>
    </xf>
    <xf numFmtId="4" fontId="35" fillId="0" borderId="11" xfId="0" applyNumberFormat="1" applyFont="1" applyFill="1" applyBorder="1" applyAlignment="1">
      <alignment vertical="center" wrapText="1"/>
    </xf>
    <xf numFmtId="4" fontId="35" fillId="0" borderId="6" xfId="0" applyNumberFormat="1" applyFont="1" applyFill="1" applyBorder="1" applyAlignment="1">
      <alignment vertical="center" wrapText="1"/>
    </xf>
    <xf numFmtId="4" fontId="16" fillId="0" borderId="6" xfId="0" applyNumberFormat="1" applyFont="1" applyFill="1" applyBorder="1" applyAlignment="1">
      <alignment vertical="center" wrapText="1"/>
    </xf>
    <xf numFmtId="4" fontId="13" fillId="0" borderId="9" xfId="2" applyNumberFormat="1" applyFont="1" applyFill="1" applyBorder="1" applyAlignment="1">
      <alignment horizontal="center" vertical="center" wrapText="1"/>
    </xf>
    <xf numFmtId="4" fontId="16" fillId="0" borderId="11" xfId="2" applyNumberFormat="1" applyFont="1" applyFill="1" applyBorder="1" applyAlignment="1">
      <alignment vertical="center" wrapText="1"/>
    </xf>
    <xf numFmtId="4" fontId="16" fillId="0" borderId="0" xfId="2" applyNumberFormat="1" applyFont="1" applyFill="1" applyBorder="1" applyAlignment="1">
      <alignment vertical="center" wrapText="1"/>
    </xf>
    <xf numFmtId="4" fontId="16" fillId="0" borderId="13" xfId="2" applyNumberFormat="1" applyFont="1" applyFill="1" applyBorder="1" applyAlignment="1">
      <alignment vertical="center" wrapText="1"/>
    </xf>
    <xf numFmtId="4" fontId="16" fillId="0" borderId="6" xfId="2" applyNumberFormat="1" applyFont="1" applyFill="1" applyBorder="1" applyAlignment="1">
      <alignment vertical="center" wrapText="1"/>
    </xf>
    <xf numFmtId="4" fontId="16" fillId="0" borderId="9" xfId="2" applyNumberFormat="1" applyFont="1" applyFill="1" applyBorder="1" applyAlignment="1">
      <alignment horizontal="center" vertical="center" wrapText="1"/>
    </xf>
    <xf numFmtId="4" fontId="21" fillId="0" borderId="9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vertical="center"/>
    </xf>
    <xf numFmtId="4" fontId="27" fillId="0" borderId="0" xfId="0" applyNumberFormat="1" applyFont="1" applyFill="1" applyBorder="1"/>
    <xf numFmtId="4" fontId="13" fillId="0" borderId="0" xfId="0" applyNumberFormat="1" applyFont="1" applyFill="1" applyBorder="1" applyAlignment="1">
      <alignment horizontal="left" vertical="center" wrapText="1"/>
    </xf>
    <xf numFmtId="4" fontId="42" fillId="0" borderId="0" xfId="0" applyNumberFormat="1" applyFont="1" applyFill="1" applyBorder="1" applyAlignment="1">
      <alignment vertical="center"/>
    </xf>
    <xf numFmtId="4" fontId="18" fillId="0" borderId="0" xfId="0" applyNumberFormat="1" applyFont="1" applyFill="1" applyBorder="1"/>
    <xf numFmtId="4" fontId="27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/>
    <xf numFmtId="4" fontId="16" fillId="0" borderId="9" xfId="0" applyNumberFormat="1" applyFont="1" applyFill="1" applyBorder="1" applyAlignment="1">
      <alignment horizontal="left" vertical="center" wrapText="1"/>
    </xf>
    <xf numFmtId="4" fontId="16" fillId="0" borderId="9" xfId="0" applyNumberFormat="1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center" wrapText="1"/>
    </xf>
    <xf numFmtId="165" fontId="16" fillId="0" borderId="15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7" fontId="13" fillId="0" borderId="9" xfId="0" applyNumberFormat="1" applyFont="1" applyFill="1" applyBorder="1" applyAlignment="1">
      <alignment horizontal="left" vertical="center" wrapText="1"/>
    </xf>
    <xf numFmtId="167" fontId="16" fillId="0" borderId="6" xfId="0" applyNumberFormat="1" applyFont="1" applyFill="1" applyBorder="1" applyAlignment="1">
      <alignment horizontal="left" vertical="center" wrapText="1"/>
    </xf>
    <xf numFmtId="167" fontId="16" fillId="0" borderId="8" xfId="0" applyNumberFormat="1" applyFont="1" applyFill="1" applyBorder="1" applyAlignment="1">
      <alignment horizontal="left" vertical="center" wrapText="1"/>
    </xf>
    <xf numFmtId="165" fontId="16" fillId="0" borderId="9" xfId="0" applyNumberFormat="1" applyFont="1" applyFill="1" applyBorder="1" applyAlignment="1">
      <alignment horizontal="left" vertical="center" wrapText="1"/>
    </xf>
    <xf numFmtId="165" fontId="13" fillId="0" borderId="9" xfId="0" applyNumberFormat="1" applyFont="1" applyFill="1" applyBorder="1" applyAlignment="1">
      <alignment horizontal="left" vertical="center" wrapText="1"/>
    </xf>
    <xf numFmtId="2" fontId="13" fillId="0" borderId="9" xfId="0" applyNumberFormat="1" applyFont="1" applyFill="1" applyBorder="1" applyAlignment="1">
      <alignment horizontal="left" vertical="center" wrapText="1"/>
    </xf>
    <xf numFmtId="2" fontId="16" fillId="0" borderId="9" xfId="0" applyNumberFormat="1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top" wrapText="1"/>
    </xf>
    <xf numFmtId="4" fontId="21" fillId="0" borderId="9" xfId="0" applyNumberFormat="1" applyFont="1" applyFill="1" applyBorder="1" applyAlignment="1">
      <alignment horizontal="left" vertical="center" wrapText="1"/>
    </xf>
    <xf numFmtId="4" fontId="13" fillId="0" borderId="9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9" fillId="0" borderId="0" xfId="0" applyFont="1" applyFill="1" applyAlignment="1">
      <alignment horizontal="center" wrapText="1"/>
    </xf>
    <xf numFmtId="4" fontId="44" fillId="0" borderId="0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6" fillId="0" borderId="9" xfId="2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168" fontId="16" fillId="0" borderId="9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68" fontId="13" fillId="0" borderId="9" xfId="0" applyNumberFormat="1" applyFont="1" applyFill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left" vertical="center" wrapText="1"/>
    </xf>
    <xf numFmtId="165" fontId="16" fillId="0" borderId="6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left" vertical="center" wrapText="1"/>
    </xf>
    <xf numFmtId="165" fontId="13" fillId="0" borderId="9" xfId="0" applyNumberFormat="1" applyFont="1" applyFill="1" applyBorder="1" applyAlignment="1">
      <alignment horizontal="left" vertical="center" wrapText="1"/>
    </xf>
    <xf numFmtId="165" fontId="13" fillId="0" borderId="9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167" fontId="16" fillId="0" borderId="3" xfId="0" applyNumberFormat="1" applyFont="1" applyFill="1" applyBorder="1" applyAlignment="1">
      <alignment horizontal="left" vertical="center" wrapText="1"/>
    </xf>
    <xf numFmtId="167" fontId="16" fillId="0" borderId="11" xfId="0" applyNumberFormat="1" applyFont="1" applyFill="1" applyBorder="1" applyAlignment="1">
      <alignment horizontal="left" vertical="center" wrapText="1"/>
    </xf>
    <xf numFmtId="168" fontId="16" fillId="0" borderId="9" xfId="2" applyNumberFormat="1" applyFont="1" applyFill="1" applyBorder="1" applyAlignment="1">
      <alignment horizontal="center" vertical="center" wrapText="1"/>
    </xf>
    <xf numFmtId="2" fontId="13" fillId="0" borderId="9" xfId="0" applyNumberFormat="1" applyFont="1" applyFill="1" applyBorder="1" applyAlignment="1">
      <alignment horizontal="center" vertical="center" wrapText="1"/>
    </xf>
    <xf numFmtId="2" fontId="16" fillId="0" borderId="3" xfId="0" applyNumberFormat="1" applyFont="1" applyFill="1" applyBorder="1" applyAlignment="1">
      <alignment horizontal="left" vertical="center" wrapText="1"/>
    </xf>
    <xf numFmtId="2" fontId="16" fillId="0" borderId="6" xfId="0" applyNumberFormat="1" applyFont="1" applyFill="1" applyBorder="1" applyAlignment="1">
      <alignment horizontal="left" vertical="center" wrapText="1"/>
    </xf>
    <xf numFmtId="168" fontId="16" fillId="0" borderId="3" xfId="2" applyNumberFormat="1" applyFont="1" applyFill="1" applyBorder="1" applyAlignment="1">
      <alignment horizontal="center" vertical="center" wrapText="1"/>
    </xf>
    <xf numFmtId="168" fontId="16" fillId="0" borderId="11" xfId="2" applyNumberFormat="1" applyFont="1" applyFill="1" applyBorder="1" applyAlignment="1">
      <alignment horizontal="center" vertical="center" wrapText="1"/>
    </xf>
    <xf numFmtId="4" fontId="16" fillId="0" borderId="3" xfId="2" applyNumberFormat="1" applyFont="1" applyFill="1" applyBorder="1" applyAlignment="1">
      <alignment horizontal="center" vertical="center" wrapText="1"/>
    </xf>
    <xf numFmtId="4" fontId="16" fillId="0" borderId="11" xfId="2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65" fontId="35" fillId="0" borderId="0" xfId="0" applyNumberFormat="1" applyFont="1" applyFill="1" applyBorder="1" applyAlignment="1">
      <alignment horizontal="left" vertical="center" wrapText="1"/>
    </xf>
    <xf numFmtId="4" fontId="16" fillId="0" borderId="10" xfId="0" applyNumberFormat="1" applyFont="1" applyFill="1" applyBorder="1" applyAlignment="1">
      <alignment horizontal="left" vertical="top" wrapText="1"/>
    </xf>
    <xf numFmtId="4" fontId="16" fillId="0" borderId="4" xfId="0" applyNumberFormat="1" applyFont="1" applyFill="1" applyBorder="1" applyAlignment="1">
      <alignment horizontal="left" vertical="top" wrapText="1"/>
    </xf>
    <xf numFmtId="4" fontId="16" fillId="0" borderId="5" xfId="0" applyNumberFormat="1" applyFont="1" applyFill="1" applyBorder="1" applyAlignment="1">
      <alignment horizontal="left" vertical="top" wrapText="1"/>
    </xf>
    <xf numFmtId="2" fontId="13" fillId="0" borderId="9" xfId="0" applyNumberFormat="1" applyFont="1" applyFill="1" applyBorder="1" applyAlignment="1">
      <alignment horizontal="left" vertical="center" wrapText="1"/>
    </xf>
    <xf numFmtId="4" fontId="16" fillId="0" borderId="9" xfId="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168" fontId="16" fillId="0" borderId="3" xfId="0" applyNumberFormat="1" applyFont="1" applyFill="1" applyBorder="1" applyAlignment="1">
      <alignment horizontal="center" vertical="center" wrapText="1"/>
    </xf>
    <xf numFmtId="168" fontId="16" fillId="0" borderId="6" xfId="0" applyNumberFormat="1" applyFont="1" applyFill="1" applyBorder="1" applyAlignment="1">
      <alignment horizontal="center" vertical="center" wrapText="1"/>
    </xf>
    <xf numFmtId="167" fontId="16" fillId="0" borderId="3" xfId="0" applyNumberFormat="1" applyFont="1" applyFill="1" applyBorder="1" applyAlignment="1">
      <alignment horizontal="center" vertical="center" wrapText="1"/>
    </xf>
    <xf numFmtId="167" fontId="16" fillId="0" borderId="6" xfId="0" applyNumberFormat="1" applyFont="1" applyFill="1" applyBorder="1" applyAlignment="1">
      <alignment horizontal="center" vertical="center" wrapText="1"/>
    </xf>
    <xf numFmtId="4" fontId="16" fillId="0" borderId="11" xfId="0" applyNumberFormat="1" applyFont="1" applyFill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165" fontId="16" fillId="0" borderId="6" xfId="0" applyNumberFormat="1" applyFont="1" applyFill="1" applyBorder="1" applyAlignment="1">
      <alignment horizontal="center" vertical="center" wrapText="1"/>
    </xf>
    <xf numFmtId="168" fontId="35" fillId="0" borderId="11" xfId="2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left" vertical="center" wrapText="1"/>
    </xf>
    <xf numFmtId="165" fontId="13" fillId="0" borderId="6" xfId="0" applyNumberFormat="1" applyFont="1" applyFill="1" applyBorder="1" applyAlignment="1">
      <alignment horizontal="left" vertical="center" wrapText="1"/>
    </xf>
    <xf numFmtId="168" fontId="13" fillId="0" borderId="3" xfId="0" applyNumberFormat="1" applyFont="1" applyFill="1" applyBorder="1" applyAlignment="1">
      <alignment horizontal="center" vertical="center" wrapText="1"/>
    </xf>
    <xf numFmtId="168" fontId="13" fillId="0" borderId="6" xfId="0" applyNumberFormat="1" applyFont="1" applyFill="1" applyBorder="1" applyAlignment="1">
      <alignment horizontal="center" vertical="center" wrapText="1"/>
    </xf>
    <xf numFmtId="167" fontId="16" fillId="0" borderId="6" xfId="0" applyNumberFormat="1" applyFont="1" applyFill="1" applyBorder="1" applyAlignment="1">
      <alignment horizontal="left" vertical="center" wrapText="1"/>
    </xf>
    <xf numFmtId="168" fontId="16" fillId="0" borderId="14" xfId="0" applyNumberFormat="1" applyFont="1" applyFill="1" applyBorder="1" applyAlignment="1">
      <alignment horizontal="center" vertical="center" wrapText="1"/>
    </xf>
    <xf numFmtId="168" fontId="16" fillId="0" borderId="8" xfId="0" applyNumberFormat="1" applyFont="1" applyFill="1" applyBorder="1" applyAlignment="1">
      <alignment horizontal="center" vertical="center" wrapText="1"/>
    </xf>
    <xf numFmtId="168" fontId="16" fillId="0" borderId="7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ояснение" xfId="1" builtinId="53" customBuiltin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7F"/>
      <rgbColor rgb="FF0000FF"/>
      <rgbColor rgb="FFFFFF00"/>
      <rgbColor rgb="FFD02BD2"/>
      <rgbColor rgb="FF00FFFF"/>
      <rgbColor rgb="FFCC0000"/>
      <rgbColor rgb="FF006600"/>
      <rgbColor rgb="FF000080"/>
      <rgbColor rgb="FF996600"/>
      <rgbColor rgb="FF800080"/>
      <rgbColor rgb="FF008080"/>
      <rgbColor rgb="FFB9CDE5"/>
      <rgbColor rgb="FF808080"/>
      <rgbColor rgb="FFDDDDDD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3399"/>
      <rgbColor rgb="FFD2D02B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2F2F2"/>
      <rgbColor rgb="FFD9D9D9"/>
      <rgbColor rgb="FFFF99CC"/>
      <rgbColor rgb="FFFFCCCC"/>
      <rgbColor rgb="FFFFCC99"/>
      <rgbColor rgb="FF007FFF"/>
      <rgbColor rgb="FF2BD22B"/>
      <rgbColor rgb="FF99CC00"/>
      <rgbColor rgb="FFFFCC00"/>
      <rgbColor rgb="FFD27E2B"/>
      <rgbColor rgb="FFFF7F00"/>
      <rgbColor rgb="FF558ED5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08"/>
  <sheetViews>
    <sheetView view="pageBreakPreview" zoomScale="50" zoomScaleNormal="60" zoomScalePageLayoutView="50" workbookViewId="0"/>
  </sheetViews>
  <sheetFormatPr defaultRowHeight="15" x14ac:dyDescent="0.25"/>
  <cols>
    <col min="1" max="1" width="48.42578125" style="1" customWidth="1"/>
    <col min="2" max="2" width="16.5703125" style="2" customWidth="1"/>
    <col min="3" max="3" width="11.85546875" style="2" customWidth="1"/>
    <col min="4" max="5" width="10.7109375" style="3" customWidth="1"/>
    <col min="6" max="6" width="11.42578125" style="3"/>
    <col min="7" max="7" width="12.140625" style="3" customWidth="1"/>
    <col min="8" max="8" width="13.140625" style="3" customWidth="1"/>
    <col min="9" max="9" width="10.42578125" style="3" customWidth="1"/>
    <col min="10" max="10" width="10" style="3" customWidth="1"/>
    <col min="11" max="11" width="11.7109375" style="3" customWidth="1"/>
    <col min="12" max="12" width="10.7109375" style="3" customWidth="1"/>
    <col min="13" max="13" width="10.42578125" style="3" customWidth="1"/>
    <col min="14" max="14" width="57.42578125" style="4" customWidth="1"/>
    <col min="15" max="15" width="9.5703125" style="3" customWidth="1"/>
    <col min="16" max="16" width="12" style="5" customWidth="1"/>
    <col min="17" max="17" width="7.140625" customWidth="1"/>
    <col min="18" max="18" width="7.7109375" customWidth="1"/>
    <col min="19" max="19" width="8.42578125" hidden="1" customWidth="1"/>
    <col min="20" max="20" width="37.7109375" customWidth="1"/>
    <col min="21" max="21" width="6.5703125" style="6" customWidth="1"/>
    <col min="22" max="33" width="8.85546875" style="6" customWidth="1"/>
    <col min="34" max="1025" width="8.7109375" customWidth="1"/>
  </cols>
  <sheetData>
    <row r="1" spans="1:33" ht="39" customHeight="1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33" ht="35.25" customHeight="1" x14ac:dyDescent="0.25">
      <c r="A2" s="244" t="s">
        <v>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33" ht="34.5" customHeight="1" x14ac:dyDescent="0.25">
      <c r="A3" s="237" t="s">
        <v>2</v>
      </c>
      <c r="B3" s="245" t="s">
        <v>3</v>
      </c>
      <c r="C3" s="245" t="s">
        <v>4</v>
      </c>
      <c r="D3" s="245"/>
      <c r="E3" s="246" t="s">
        <v>5</v>
      </c>
      <c r="F3" s="246"/>
      <c r="G3" s="246"/>
      <c r="H3" s="246"/>
      <c r="I3" s="246"/>
      <c r="J3" s="246"/>
      <c r="K3" s="246"/>
      <c r="L3" s="246"/>
      <c r="M3" s="246"/>
      <c r="N3" s="245" t="s">
        <v>6</v>
      </c>
      <c r="O3" s="245"/>
      <c r="P3" s="245"/>
      <c r="Q3" s="245"/>
      <c r="R3" s="245"/>
      <c r="S3" s="245"/>
      <c r="T3" s="245"/>
    </row>
    <row r="4" spans="1:33" ht="34.5" customHeight="1" x14ac:dyDescent="0.25">
      <c r="A4" s="237"/>
      <c r="B4" s="245"/>
      <c r="C4" s="245"/>
      <c r="D4" s="245"/>
      <c r="E4" s="245" t="s">
        <v>7</v>
      </c>
      <c r="F4" s="245"/>
      <c r="G4" s="245" t="s">
        <v>8</v>
      </c>
      <c r="H4" s="245"/>
      <c r="I4" s="245" t="s">
        <v>9</v>
      </c>
      <c r="J4" s="245"/>
      <c r="K4" s="245" t="s">
        <v>10</v>
      </c>
      <c r="L4" s="245" t="s">
        <v>11</v>
      </c>
      <c r="M4" s="245"/>
      <c r="N4" s="8"/>
      <c r="O4" s="8"/>
      <c r="P4" s="7"/>
      <c r="Q4" s="8"/>
      <c r="R4" s="8"/>
      <c r="S4" s="8"/>
      <c r="T4" s="8"/>
    </row>
    <row r="5" spans="1:33" ht="149.25" customHeight="1" x14ac:dyDescent="0.25">
      <c r="A5" s="237"/>
      <c r="B5" s="245"/>
      <c r="C5" s="8" t="s">
        <v>12</v>
      </c>
      <c r="D5" s="8" t="s">
        <v>13</v>
      </c>
      <c r="E5" s="8" t="s">
        <v>12</v>
      </c>
      <c r="F5" s="8" t="s">
        <v>13</v>
      </c>
      <c r="G5" s="8" t="s">
        <v>12</v>
      </c>
      <c r="H5" s="8" t="s">
        <v>13</v>
      </c>
      <c r="I5" s="8" t="s">
        <v>12</v>
      </c>
      <c r="J5" s="8" t="s">
        <v>13</v>
      </c>
      <c r="K5" s="245"/>
      <c r="L5" s="8" t="s">
        <v>12</v>
      </c>
      <c r="M5" s="8" t="s">
        <v>13</v>
      </c>
      <c r="N5" s="8" t="s">
        <v>14</v>
      </c>
      <c r="O5" s="8" t="s">
        <v>15</v>
      </c>
      <c r="P5" s="7" t="s">
        <v>16</v>
      </c>
      <c r="Q5" s="8" t="s">
        <v>17</v>
      </c>
      <c r="R5" s="8" t="s">
        <v>18</v>
      </c>
      <c r="S5" s="8"/>
      <c r="T5" s="8" t="s">
        <v>19</v>
      </c>
    </row>
    <row r="6" spans="1:33" ht="67.5" customHeight="1" x14ac:dyDescent="0.25">
      <c r="A6" s="9" t="s">
        <v>20</v>
      </c>
      <c r="B6" s="10">
        <f t="shared" ref="B6:M6" si="0">B12+B42+B59+B87+B92</f>
        <v>1228145.2101</v>
      </c>
      <c r="C6" s="11">
        <f t="shared" si="0"/>
        <v>977533.80070000002</v>
      </c>
      <c r="D6" s="11">
        <f t="shared" si="0"/>
        <v>983435.45782000001</v>
      </c>
      <c r="E6" s="11">
        <f t="shared" si="0"/>
        <v>511346.95100000006</v>
      </c>
      <c r="F6" s="11">
        <f t="shared" si="0"/>
        <v>510824.93862000003</v>
      </c>
      <c r="G6" s="11">
        <f t="shared" si="0"/>
        <v>349637.34969999996</v>
      </c>
      <c r="H6" s="11">
        <f t="shared" si="0"/>
        <v>355215.9192</v>
      </c>
      <c r="I6" s="11">
        <f t="shared" si="0"/>
        <v>3939.6000000000004</v>
      </c>
      <c r="J6" s="11">
        <f t="shared" si="0"/>
        <v>4784.7</v>
      </c>
      <c r="K6" s="11">
        <f t="shared" si="0"/>
        <v>112609.9</v>
      </c>
      <c r="L6" s="11">
        <f t="shared" si="0"/>
        <v>0</v>
      </c>
      <c r="M6" s="11">
        <f t="shared" si="0"/>
        <v>0</v>
      </c>
      <c r="N6" s="12"/>
      <c r="O6" s="12"/>
      <c r="P6" s="13"/>
      <c r="Q6" s="12"/>
      <c r="R6" s="12"/>
      <c r="S6" s="12"/>
      <c r="T6" s="14"/>
    </row>
    <row r="7" spans="1:33" ht="23.25" customHeight="1" x14ac:dyDescent="0.25">
      <c r="A7" s="231" t="s">
        <v>21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</row>
    <row r="8" spans="1:33" ht="120.75" customHeight="1" x14ac:dyDescent="0.25">
      <c r="A8" s="15" t="s">
        <v>22</v>
      </c>
      <c r="B8" s="16">
        <f t="shared" ref="B8:M8" si="1">B9</f>
        <v>255542.34</v>
      </c>
      <c r="C8" s="16">
        <f t="shared" si="1"/>
        <v>120473.88799999999</v>
      </c>
      <c r="D8" s="16">
        <f t="shared" si="1"/>
        <v>126563.21799999999</v>
      </c>
      <c r="E8" s="16">
        <f t="shared" si="1"/>
        <v>64418.983</v>
      </c>
      <c r="F8" s="16">
        <f t="shared" si="1"/>
        <v>63959.983</v>
      </c>
      <c r="G8" s="16">
        <f t="shared" si="1"/>
        <v>52115.305</v>
      </c>
      <c r="H8" s="16">
        <f t="shared" si="1"/>
        <v>57818.535000000003</v>
      </c>
      <c r="I8" s="16">
        <f t="shared" si="1"/>
        <v>3939.6000000000004</v>
      </c>
      <c r="J8" s="16">
        <f t="shared" si="1"/>
        <v>4784.7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7" t="s">
        <v>23</v>
      </c>
      <c r="O8" s="7" t="s">
        <v>24</v>
      </c>
      <c r="P8" s="7">
        <v>4.2</v>
      </c>
      <c r="Q8" s="7">
        <v>4.3</v>
      </c>
      <c r="R8" s="18">
        <v>4.3</v>
      </c>
      <c r="S8" s="19"/>
      <c r="T8" s="18" t="s">
        <v>25</v>
      </c>
      <c r="U8" s="20">
        <v>1</v>
      </c>
    </row>
    <row r="9" spans="1:33" ht="122.25" customHeight="1" x14ac:dyDescent="0.25">
      <c r="A9" s="241" t="s">
        <v>26</v>
      </c>
      <c r="B9" s="239">
        <f t="shared" ref="B9:M9" si="2">B12</f>
        <v>255542.34</v>
      </c>
      <c r="C9" s="239">
        <f t="shared" si="2"/>
        <v>120473.88799999999</v>
      </c>
      <c r="D9" s="239">
        <f t="shared" si="2"/>
        <v>126563.21799999999</v>
      </c>
      <c r="E9" s="239">
        <f t="shared" si="2"/>
        <v>64418.983</v>
      </c>
      <c r="F9" s="239">
        <f t="shared" si="2"/>
        <v>63959.983</v>
      </c>
      <c r="G9" s="239">
        <f t="shared" si="2"/>
        <v>52115.305</v>
      </c>
      <c r="H9" s="239">
        <f t="shared" si="2"/>
        <v>57818.535000000003</v>
      </c>
      <c r="I9" s="239">
        <f t="shared" si="2"/>
        <v>3939.6000000000004</v>
      </c>
      <c r="J9" s="239">
        <f t="shared" si="2"/>
        <v>4784.7</v>
      </c>
      <c r="K9" s="239">
        <f t="shared" si="2"/>
        <v>0</v>
      </c>
      <c r="L9" s="239">
        <f t="shared" si="2"/>
        <v>0</v>
      </c>
      <c r="M9" s="239">
        <f t="shared" si="2"/>
        <v>0</v>
      </c>
      <c r="N9" s="17" t="s">
        <v>27</v>
      </c>
      <c r="O9" s="7" t="s">
        <v>24</v>
      </c>
      <c r="P9" s="17">
        <v>1.24</v>
      </c>
      <c r="Q9" s="17">
        <v>1.8</v>
      </c>
      <c r="R9" s="17">
        <v>1.8</v>
      </c>
      <c r="S9" s="22">
        <f>R9-Q9</f>
        <v>0</v>
      </c>
      <c r="T9" s="7"/>
      <c r="U9" s="20">
        <f>U8+1</f>
        <v>2</v>
      </c>
    </row>
    <row r="10" spans="1:33" ht="65.25" hidden="1" customHeight="1" x14ac:dyDescent="0.25">
      <c r="A10" s="241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17" t="s">
        <v>28</v>
      </c>
      <c r="O10" s="7" t="s">
        <v>24</v>
      </c>
      <c r="P10" s="17">
        <v>0</v>
      </c>
      <c r="Q10" s="17">
        <v>0</v>
      </c>
      <c r="R10" s="17">
        <v>0</v>
      </c>
      <c r="S10" s="7">
        <f>R10-Q10</f>
        <v>0</v>
      </c>
      <c r="T10" s="7"/>
      <c r="U10" s="20"/>
    </row>
    <row r="11" spans="1:33" ht="26.25" customHeight="1" x14ac:dyDescent="0.25">
      <c r="A11" s="231" t="s">
        <v>29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</row>
    <row r="12" spans="1:33" s="26" customFormat="1" ht="129" customHeight="1" x14ac:dyDescent="0.25">
      <c r="A12" s="15" t="s">
        <v>30</v>
      </c>
      <c r="B12" s="23">
        <f t="shared" ref="B12:M12" si="3">B13+B17</f>
        <v>255542.34</v>
      </c>
      <c r="C12" s="23">
        <f t="shared" si="3"/>
        <v>120473.88799999999</v>
      </c>
      <c r="D12" s="23">
        <f t="shared" si="3"/>
        <v>126563.21799999999</v>
      </c>
      <c r="E12" s="23">
        <f t="shared" si="3"/>
        <v>64418.983</v>
      </c>
      <c r="F12" s="23">
        <f t="shared" si="3"/>
        <v>63959.983</v>
      </c>
      <c r="G12" s="23">
        <f t="shared" si="3"/>
        <v>52115.305</v>
      </c>
      <c r="H12" s="23">
        <f t="shared" si="3"/>
        <v>57818.535000000003</v>
      </c>
      <c r="I12" s="23">
        <f t="shared" si="3"/>
        <v>3939.6000000000004</v>
      </c>
      <c r="J12" s="23">
        <f t="shared" si="3"/>
        <v>4784.7</v>
      </c>
      <c r="K12" s="23">
        <f t="shared" si="3"/>
        <v>0</v>
      </c>
      <c r="L12" s="23">
        <f t="shared" si="3"/>
        <v>0</v>
      </c>
      <c r="M12" s="23">
        <f t="shared" si="3"/>
        <v>0</v>
      </c>
      <c r="N12" s="17" t="s">
        <v>31</v>
      </c>
      <c r="O12" s="7" t="s">
        <v>24</v>
      </c>
      <c r="P12" s="17">
        <v>1.24</v>
      </c>
      <c r="Q12" s="17">
        <v>1.8</v>
      </c>
      <c r="R12" s="17">
        <v>1.8</v>
      </c>
      <c r="S12" s="24">
        <f>R12-Q12</f>
        <v>0</v>
      </c>
      <c r="T12" s="7"/>
      <c r="U12" s="20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s="26" customFormat="1" ht="62.25" customHeight="1" x14ac:dyDescent="0.25">
      <c r="A13" s="232" t="s">
        <v>32</v>
      </c>
      <c r="B13" s="239">
        <f t="shared" ref="B13:M13" si="4">B15+B16</f>
        <v>45081</v>
      </c>
      <c r="C13" s="239">
        <f t="shared" si="4"/>
        <v>45081</v>
      </c>
      <c r="D13" s="239">
        <f t="shared" si="4"/>
        <v>45081</v>
      </c>
      <c r="E13" s="239">
        <f t="shared" si="4"/>
        <v>19601</v>
      </c>
      <c r="F13" s="239">
        <f t="shared" si="4"/>
        <v>19601</v>
      </c>
      <c r="G13" s="239">
        <f t="shared" si="4"/>
        <v>25480</v>
      </c>
      <c r="H13" s="239">
        <f t="shared" si="4"/>
        <v>25480</v>
      </c>
      <c r="I13" s="239">
        <f t="shared" si="4"/>
        <v>0</v>
      </c>
      <c r="J13" s="239">
        <f t="shared" si="4"/>
        <v>0</v>
      </c>
      <c r="K13" s="239">
        <f t="shared" si="4"/>
        <v>0</v>
      </c>
      <c r="L13" s="239">
        <f t="shared" si="4"/>
        <v>0</v>
      </c>
      <c r="M13" s="239">
        <f t="shared" si="4"/>
        <v>0</v>
      </c>
      <c r="N13" s="7" t="s">
        <v>33</v>
      </c>
      <c r="O13" s="7" t="s">
        <v>34</v>
      </c>
      <c r="P13" s="17">
        <v>1.74</v>
      </c>
      <c r="Q13" s="17">
        <v>1.83</v>
      </c>
      <c r="R13" s="17">
        <v>2.1</v>
      </c>
      <c r="S13" s="24">
        <f>R13-Q13</f>
        <v>0.27</v>
      </c>
      <c r="T13" s="7"/>
      <c r="U13" s="25">
        <v>3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s="26" customFormat="1" ht="38.25" customHeight="1" x14ac:dyDescent="0.25">
      <c r="A14" s="232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17" t="s">
        <v>35</v>
      </c>
      <c r="O14" s="17" t="s">
        <v>36</v>
      </c>
      <c r="P14" s="17">
        <v>0.98</v>
      </c>
      <c r="Q14" s="17">
        <v>3.27</v>
      </c>
      <c r="R14" s="7">
        <v>7.9</v>
      </c>
      <c r="S14" s="22">
        <f>R14/Q14*100</f>
        <v>241.59021406727828</v>
      </c>
      <c r="T14" s="237" t="s">
        <v>37</v>
      </c>
      <c r="U14" s="25">
        <v>4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s="26" customFormat="1" ht="60.75" customHeight="1" x14ac:dyDescent="0.25">
      <c r="A15" s="15" t="s">
        <v>38</v>
      </c>
      <c r="B15" s="7">
        <v>13524</v>
      </c>
      <c r="C15" s="16">
        <f>E15+G15+I15+K15+L15</f>
        <v>13524</v>
      </c>
      <c r="D15" s="16">
        <f>F15+H15+J15+K15+M15</f>
        <v>13524</v>
      </c>
      <c r="E15" s="17">
        <v>5880</v>
      </c>
      <c r="F15" s="17">
        <v>5880</v>
      </c>
      <c r="G15" s="17">
        <v>7644</v>
      </c>
      <c r="H15" s="17">
        <v>7644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 t="s">
        <v>39</v>
      </c>
      <c r="O15" s="17" t="s">
        <v>40</v>
      </c>
      <c r="P15" s="17">
        <v>0.54</v>
      </c>
      <c r="Q15" s="17">
        <v>0.98</v>
      </c>
      <c r="R15" s="7">
        <v>3.8</v>
      </c>
      <c r="S15" s="22">
        <f>R15/Q15*100</f>
        <v>387.75510204081633</v>
      </c>
      <c r="T15" s="237"/>
      <c r="U15" s="25">
        <v>5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s="26" customFormat="1" ht="57" customHeight="1" x14ac:dyDescent="0.25">
      <c r="A16" s="15" t="s">
        <v>41</v>
      </c>
      <c r="B16" s="7">
        <v>31557</v>
      </c>
      <c r="C16" s="16">
        <f>E16+G16+I16+K16+L16</f>
        <v>31557</v>
      </c>
      <c r="D16" s="16">
        <f>F16+H16+J16+K16+M16</f>
        <v>31557</v>
      </c>
      <c r="E16" s="17">
        <v>13721</v>
      </c>
      <c r="F16" s="17">
        <v>13721</v>
      </c>
      <c r="G16" s="17">
        <v>17836</v>
      </c>
      <c r="H16" s="17">
        <v>17836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 t="s">
        <v>42</v>
      </c>
      <c r="O16" s="17" t="s">
        <v>43</v>
      </c>
      <c r="P16" s="17">
        <v>0.44</v>
      </c>
      <c r="Q16" s="17">
        <v>2.29</v>
      </c>
      <c r="R16" s="7">
        <v>4.0999999999999996</v>
      </c>
      <c r="S16" s="22">
        <f>R16/Q16*100</f>
        <v>179.03930131004364</v>
      </c>
      <c r="T16" s="237"/>
      <c r="U16" s="25">
        <v>6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s="26" customFormat="1" ht="189.75" customHeight="1" x14ac:dyDescent="0.25">
      <c r="A17" s="15" t="s">
        <v>44</v>
      </c>
      <c r="B17" s="16">
        <f t="shared" ref="B17:M17" si="5">B18+B27+B30+B32+B33</f>
        <v>210461.34</v>
      </c>
      <c r="C17" s="16">
        <f t="shared" si="5"/>
        <v>75392.887999999992</v>
      </c>
      <c r="D17" s="16">
        <f t="shared" si="5"/>
        <v>81482.217999999993</v>
      </c>
      <c r="E17" s="16">
        <f t="shared" si="5"/>
        <v>44817.983</v>
      </c>
      <c r="F17" s="16">
        <f t="shared" si="5"/>
        <v>44358.983</v>
      </c>
      <c r="G17" s="16">
        <f t="shared" si="5"/>
        <v>26635.305</v>
      </c>
      <c r="H17" s="16">
        <f t="shared" si="5"/>
        <v>32338.535</v>
      </c>
      <c r="I17" s="16">
        <f t="shared" si="5"/>
        <v>3939.6000000000004</v>
      </c>
      <c r="J17" s="16">
        <f t="shared" si="5"/>
        <v>4784.7</v>
      </c>
      <c r="K17" s="16">
        <f t="shared" si="5"/>
        <v>0</v>
      </c>
      <c r="L17" s="16">
        <f t="shared" si="5"/>
        <v>0</v>
      </c>
      <c r="M17" s="16">
        <f t="shared" si="5"/>
        <v>0</v>
      </c>
      <c r="N17" s="17" t="s">
        <v>45</v>
      </c>
      <c r="O17" s="7" t="s">
        <v>24</v>
      </c>
      <c r="P17" s="17">
        <v>0.86</v>
      </c>
      <c r="Q17" s="17">
        <v>2.29</v>
      </c>
      <c r="R17" s="17">
        <v>2.9</v>
      </c>
      <c r="S17" s="24">
        <f>R17-Q17</f>
        <v>0.60999999999999988</v>
      </c>
      <c r="T17" s="17"/>
      <c r="U17" s="25">
        <v>7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s="26" customFormat="1" ht="50.25" customHeight="1" x14ac:dyDescent="0.25">
      <c r="A18" s="15" t="s">
        <v>46</v>
      </c>
      <c r="B18" s="16">
        <f t="shared" ref="B18:M18" si="6">B20+B22+B23+B24+B25+B26</f>
        <v>37023.29</v>
      </c>
      <c r="C18" s="16">
        <f t="shared" si="6"/>
        <v>17033.3416</v>
      </c>
      <c r="D18" s="16">
        <f t="shared" si="6"/>
        <v>17033.3416</v>
      </c>
      <c r="E18" s="16">
        <f t="shared" si="6"/>
        <v>15090.003000000001</v>
      </c>
      <c r="F18" s="16">
        <f t="shared" si="6"/>
        <v>15090.003000000001</v>
      </c>
      <c r="G18" s="16">
        <f t="shared" si="6"/>
        <v>1943.3386</v>
      </c>
      <c r="H18" s="16">
        <f t="shared" si="6"/>
        <v>1943.3386</v>
      </c>
      <c r="I18" s="16">
        <f t="shared" si="6"/>
        <v>0</v>
      </c>
      <c r="J18" s="16">
        <f t="shared" si="6"/>
        <v>0</v>
      </c>
      <c r="K18" s="16">
        <f t="shared" si="6"/>
        <v>0</v>
      </c>
      <c r="L18" s="16">
        <f t="shared" si="6"/>
        <v>0</v>
      </c>
      <c r="M18" s="16">
        <f t="shared" si="6"/>
        <v>0</v>
      </c>
      <c r="N18" s="17" t="s">
        <v>47</v>
      </c>
      <c r="O18" s="7" t="s">
        <v>24</v>
      </c>
      <c r="P18" s="17">
        <v>55.2</v>
      </c>
      <c r="Q18" s="17">
        <v>55.4</v>
      </c>
      <c r="R18" s="17">
        <v>55.7</v>
      </c>
      <c r="S18" s="24">
        <f>R18-Q18</f>
        <v>0.30000000000000426</v>
      </c>
      <c r="T18" s="27"/>
      <c r="U18" s="25">
        <v>8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 s="30" customFormat="1" ht="80.25" hidden="1" customHeight="1" x14ac:dyDescent="0.25">
      <c r="A19" s="28" t="s">
        <v>48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 t="s">
        <v>49</v>
      </c>
      <c r="O19" s="29" t="s">
        <v>50</v>
      </c>
      <c r="P19" s="29">
        <v>0</v>
      </c>
      <c r="Q19" s="29">
        <v>0</v>
      </c>
      <c r="R19" s="29">
        <v>0</v>
      </c>
      <c r="S19" s="29"/>
      <c r="T19" s="29"/>
    </row>
    <row r="20" spans="1:33" s="26" customFormat="1" ht="102.75" customHeight="1" x14ac:dyDescent="0.25">
      <c r="A20" s="15" t="s">
        <v>51</v>
      </c>
      <c r="B20" s="17">
        <v>13480.35</v>
      </c>
      <c r="C20" s="16">
        <f t="shared" ref="C20:C26" si="7">E20+G20+I20+K20+L20</f>
        <v>5533.8029999999999</v>
      </c>
      <c r="D20" s="16">
        <f t="shared" ref="D20:D26" si="8">F20+H20+J20+K20+M20</f>
        <v>5533.8029999999999</v>
      </c>
      <c r="E20" s="17">
        <v>5533.8029999999999</v>
      </c>
      <c r="F20" s="17">
        <v>5533.8029999999999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 t="s">
        <v>49</v>
      </c>
      <c r="O20" s="17" t="s">
        <v>50</v>
      </c>
      <c r="P20" s="17">
        <v>0</v>
      </c>
      <c r="Q20" s="17">
        <v>0</v>
      </c>
      <c r="R20" s="17">
        <v>0</v>
      </c>
      <c r="S20" s="17" t="s">
        <v>52</v>
      </c>
      <c r="T20" s="17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s="30" customFormat="1" ht="102.75" hidden="1" customHeight="1" x14ac:dyDescent="0.25">
      <c r="A21" s="28" t="s">
        <v>53</v>
      </c>
      <c r="B21" s="29" t="s">
        <v>54</v>
      </c>
      <c r="C21" s="16">
        <f t="shared" si="7"/>
        <v>0</v>
      </c>
      <c r="D21" s="16">
        <f t="shared" si="8"/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 t="s">
        <v>49</v>
      </c>
      <c r="O21" s="29" t="s">
        <v>50</v>
      </c>
      <c r="P21" s="29"/>
      <c r="Q21" s="31">
        <v>0</v>
      </c>
      <c r="R21" s="32">
        <v>0</v>
      </c>
      <c r="S21" s="32"/>
      <c r="T21" s="32"/>
    </row>
    <row r="22" spans="1:33" s="26" customFormat="1" ht="86.25" customHeight="1" x14ac:dyDescent="0.25">
      <c r="A22" s="15" t="s">
        <v>55</v>
      </c>
      <c r="B22" s="17">
        <v>1284.9000000000001</v>
      </c>
      <c r="C22" s="16">
        <f t="shared" si="7"/>
        <v>0</v>
      </c>
      <c r="D22" s="16">
        <f t="shared" si="8"/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 t="s">
        <v>49</v>
      </c>
      <c r="O22" s="17" t="s">
        <v>50</v>
      </c>
      <c r="P22" s="17"/>
      <c r="Q22" s="17">
        <v>0</v>
      </c>
      <c r="R22" s="17">
        <v>0</v>
      </c>
      <c r="S22" s="17" t="s">
        <v>52</v>
      </c>
      <c r="T22" s="17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s="26" customFormat="1" ht="75.75" customHeight="1" x14ac:dyDescent="0.25">
      <c r="A23" s="15" t="s">
        <v>56</v>
      </c>
      <c r="B23" s="17">
        <v>10862.71</v>
      </c>
      <c r="C23" s="16">
        <f t="shared" si="7"/>
        <v>6455.0385999999999</v>
      </c>
      <c r="D23" s="16">
        <f t="shared" si="8"/>
        <v>6455.0385999999999</v>
      </c>
      <c r="E23" s="17">
        <v>4511.7</v>
      </c>
      <c r="F23" s="17">
        <v>4511.7</v>
      </c>
      <c r="G23" s="17">
        <v>1943.3386</v>
      </c>
      <c r="H23" s="17">
        <v>1943.3386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 t="s">
        <v>49</v>
      </c>
      <c r="O23" s="17" t="s">
        <v>50</v>
      </c>
      <c r="P23" s="17"/>
      <c r="Q23" s="17">
        <v>15.73</v>
      </c>
      <c r="R23" s="17">
        <v>0</v>
      </c>
      <c r="S23" s="24">
        <f>R23/Q23*100</f>
        <v>0</v>
      </c>
      <c r="T23" s="7" t="s">
        <v>57</v>
      </c>
      <c r="U23" s="25">
        <v>9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s="26" customFormat="1" ht="84.75" customHeight="1" x14ac:dyDescent="0.25">
      <c r="A24" s="15" t="s">
        <v>58</v>
      </c>
      <c r="B24" s="17">
        <v>2321.4</v>
      </c>
      <c r="C24" s="16">
        <f t="shared" si="7"/>
        <v>0</v>
      </c>
      <c r="D24" s="16">
        <f t="shared" si="8"/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 t="s">
        <v>49</v>
      </c>
      <c r="O24" s="17" t="s">
        <v>50</v>
      </c>
      <c r="P24" s="17"/>
      <c r="Q24" s="17">
        <v>0</v>
      </c>
      <c r="R24" s="17">
        <v>0</v>
      </c>
      <c r="S24" s="17" t="s">
        <v>52</v>
      </c>
      <c r="T24" s="17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s="26" customFormat="1" ht="83.25" customHeight="1" x14ac:dyDescent="0.25">
      <c r="A25" s="15" t="s">
        <v>59</v>
      </c>
      <c r="B25" s="33">
        <v>5044.5</v>
      </c>
      <c r="C25" s="16">
        <f t="shared" si="7"/>
        <v>5044.5</v>
      </c>
      <c r="D25" s="16">
        <f t="shared" si="8"/>
        <v>5044.5</v>
      </c>
      <c r="E25" s="17">
        <v>5044.5</v>
      </c>
      <c r="F25" s="17">
        <v>5044.5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 t="s">
        <v>49</v>
      </c>
      <c r="O25" s="17" t="s">
        <v>50</v>
      </c>
      <c r="P25" s="17"/>
      <c r="Q25" s="17">
        <v>27.2</v>
      </c>
      <c r="R25" s="17">
        <v>32.11</v>
      </c>
      <c r="S25" s="24">
        <f>R25/Q25*100</f>
        <v>118.05147058823529</v>
      </c>
      <c r="T25" s="237" t="s">
        <v>57</v>
      </c>
      <c r="U25" s="25">
        <v>10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26" customFormat="1" ht="74.25" customHeight="1" x14ac:dyDescent="0.25">
      <c r="A26" s="15" t="s">
        <v>60</v>
      </c>
      <c r="B26" s="17">
        <v>4029.43</v>
      </c>
      <c r="C26" s="16">
        <f t="shared" si="7"/>
        <v>0</v>
      </c>
      <c r="D26" s="16">
        <f t="shared" si="8"/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 t="s">
        <v>49</v>
      </c>
      <c r="O26" s="17" t="s">
        <v>50</v>
      </c>
      <c r="P26" s="17"/>
      <c r="Q26" s="17">
        <v>5.2</v>
      </c>
      <c r="R26" s="17">
        <v>12.26</v>
      </c>
      <c r="S26" s="24">
        <f>R26/Q26*100</f>
        <v>235.76923076923077</v>
      </c>
      <c r="T26" s="237"/>
      <c r="U26" s="25">
        <v>11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s="26" customFormat="1" ht="51.75" customHeight="1" x14ac:dyDescent="0.25">
      <c r="A27" s="21" t="s">
        <v>61</v>
      </c>
      <c r="B27" s="16">
        <f t="shared" ref="B27:M27" si="9">B28</f>
        <v>30539.61</v>
      </c>
      <c r="C27" s="16">
        <f t="shared" si="9"/>
        <v>21473.6764</v>
      </c>
      <c r="D27" s="16">
        <f t="shared" si="9"/>
        <v>21473.6764</v>
      </c>
      <c r="E27" s="16">
        <f t="shared" si="9"/>
        <v>15880</v>
      </c>
      <c r="F27" s="16">
        <f t="shared" si="9"/>
        <v>15880</v>
      </c>
      <c r="G27" s="16">
        <f t="shared" si="9"/>
        <v>5593.6764000000003</v>
      </c>
      <c r="H27" s="16">
        <f t="shared" si="9"/>
        <v>5593.6764000000003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7" t="s">
        <v>62</v>
      </c>
      <c r="O27" s="7" t="s">
        <v>24</v>
      </c>
      <c r="P27" s="17">
        <v>71.7</v>
      </c>
      <c r="Q27" s="17">
        <v>71.900000000000006</v>
      </c>
      <c r="R27" s="17">
        <v>73</v>
      </c>
      <c r="S27" s="24">
        <f>R27-Q27</f>
        <v>1.0999999999999943</v>
      </c>
      <c r="T27" s="17"/>
      <c r="U27" s="25">
        <v>12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s="26" customFormat="1" ht="78.75" customHeight="1" x14ac:dyDescent="0.25">
      <c r="A28" s="15" t="s">
        <v>63</v>
      </c>
      <c r="B28" s="17">
        <v>30539.61</v>
      </c>
      <c r="C28" s="16">
        <f>E28+G28+I28+K28+L28</f>
        <v>21473.6764</v>
      </c>
      <c r="D28" s="16">
        <f>F28+H28+J28+K28+M28</f>
        <v>21473.6764</v>
      </c>
      <c r="E28" s="17">
        <v>15880</v>
      </c>
      <c r="F28" s="17">
        <v>15880</v>
      </c>
      <c r="G28" s="17">
        <v>5593.6764000000003</v>
      </c>
      <c r="H28" s="17">
        <v>5593.6764000000003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 t="s">
        <v>64</v>
      </c>
      <c r="O28" s="17" t="s">
        <v>50</v>
      </c>
      <c r="P28" s="17">
        <v>0</v>
      </c>
      <c r="Q28" s="17">
        <v>33.590000000000003</v>
      </c>
      <c r="R28" s="34">
        <v>36.496000000000002</v>
      </c>
      <c r="S28" s="24">
        <f>R28/Q28*100</f>
        <v>108.65138434057755</v>
      </c>
      <c r="T28" s="17" t="s">
        <v>57</v>
      </c>
      <c r="U28" s="25">
        <v>13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s="30" customFormat="1" ht="102.75" hidden="1" customHeight="1" x14ac:dyDescent="0.25">
      <c r="A29" s="28" t="s">
        <v>65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 t="s">
        <v>64</v>
      </c>
      <c r="O29" s="29" t="s">
        <v>50</v>
      </c>
      <c r="P29" s="29">
        <v>0</v>
      </c>
      <c r="Q29" s="29">
        <v>0</v>
      </c>
      <c r="R29" s="29">
        <v>0</v>
      </c>
      <c r="S29" s="29"/>
      <c r="T29" s="29"/>
    </row>
    <row r="30" spans="1:33" s="26" customFormat="1" ht="51.75" customHeight="1" x14ac:dyDescent="0.25">
      <c r="A30" s="15" t="s">
        <v>66</v>
      </c>
      <c r="B30" s="16">
        <f t="shared" ref="B30:M30" si="10">B31</f>
        <v>10757.15</v>
      </c>
      <c r="C30" s="16">
        <f t="shared" si="10"/>
        <v>0</v>
      </c>
      <c r="D30" s="16">
        <f t="shared" si="10"/>
        <v>0</v>
      </c>
      <c r="E30" s="16">
        <f t="shared" si="10"/>
        <v>0</v>
      </c>
      <c r="F30" s="16">
        <f t="shared" si="10"/>
        <v>0</v>
      </c>
      <c r="G30" s="16">
        <f t="shared" si="10"/>
        <v>0</v>
      </c>
      <c r="H30" s="16">
        <f t="shared" si="10"/>
        <v>0</v>
      </c>
      <c r="I30" s="16">
        <f t="shared" si="10"/>
        <v>0</v>
      </c>
      <c r="J30" s="16">
        <f t="shared" si="10"/>
        <v>0</v>
      </c>
      <c r="K30" s="16">
        <f t="shared" si="10"/>
        <v>0</v>
      </c>
      <c r="L30" s="16">
        <f t="shared" si="10"/>
        <v>0</v>
      </c>
      <c r="M30" s="16">
        <f t="shared" si="10"/>
        <v>0</v>
      </c>
      <c r="N30" s="17" t="s">
        <v>67</v>
      </c>
      <c r="O30" s="17" t="s">
        <v>68</v>
      </c>
      <c r="P30" s="17">
        <v>0</v>
      </c>
      <c r="Q30" s="17">
        <v>0</v>
      </c>
      <c r="R30" s="17">
        <v>0</v>
      </c>
      <c r="S30" s="17" t="s">
        <v>52</v>
      </c>
      <c r="T30" s="17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s="26" customFormat="1" ht="66.75" customHeight="1" x14ac:dyDescent="0.25">
      <c r="A31" s="15" t="s">
        <v>69</v>
      </c>
      <c r="B31" s="17">
        <v>10757.15</v>
      </c>
      <c r="C31" s="16">
        <f>E31+G31+I31+K31+L31</f>
        <v>0</v>
      </c>
      <c r="D31" s="16">
        <f>F31+H31+J31+K31+M31</f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 t="s">
        <v>70</v>
      </c>
      <c r="O31" s="17" t="s">
        <v>68</v>
      </c>
      <c r="P31" s="17">
        <v>0</v>
      </c>
      <c r="Q31" s="17">
        <v>0</v>
      </c>
      <c r="R31" s="17">
        <v>0</v>
      </c>
      <c r="S31" s="17" t="s">
        <v>52</v>
      </c>
      <c r="T31" s="17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s="26" customFormat="1" ht="102.75" customHeight="1" x14ac:dyDescent="0.25">
      <c r="A32" s="15" t="s">
        <v>71</v>
      </c>
      <c r="B32" s="17">
        <v>0</v>
      </c>
      <c r="C32" s="16">
        <f>E32+G32+I32+K32+L32</f>
        <v>0</v>
      </c>
      <c r="D32" s="16">
        <f>F32+H32+J32+K32+M32</f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 t="s">
        <v>72</v>
      </c>
      <c r="O32" s="17" t="s">
        <v>24</v>
      </c>
      <c r="P32" s="17">
        <v>9</v>
      </c>
      <c r="Q32" s="17">
        <v>9</v>
      </c>
      <c r="R32" s="17">
        <v>9</v>
      </c>
      <c r="S32" s="24">
        <f>R32/Q32*100</f>
        <v>100</v>
      </c>
      <c r="T32" s="17"/>
      <c r="U32" s="25">
        <v>14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s="26" customFormat="1" ht="116.25" customHeight="1" x14ac:dyDescent="0.25">
      <c r="A33" s="35" t="s">
        <v>73</v>
      </c>
      <c r="B33" s="16">
        <f t="shared" ref="B33:M33" si="11">B34+B35+B36+B37</f>
        <v>132141.29</v>
      </c>
      <c r="C33" s="16">
        <f t="shared" si="11"/>
        <v>36885.869999999995</v>
      </c>
      <c r="D33" s="16">
        <f t="shared" si="11"/>
        <v>42975.199999999997</v>
      </c>
      <c r="E33" s="16">
        <f t="shared" si="11"/>
        <v>13847.98</v>
      </c>
      <c r="F33" s="16">
        <f t="shared" si="11"/>
        <v>13388.98</v>
      </c>
      <c r="G33" s="16">
        <f t="shared" si="11"/>
        <v>19098.29</v>
      </c>
      <c r="H33" s="16">
        <f t="shared" si="11"/>
        <v>24801.52</v>
      </c>
      <c r="I33" s="16">
        <f t="shared" si="11"/>
        <v>3939.6000000000004</v>
      </c>
      <c r="J33" s="16">
        <f t="shared" si="11"/>
        <v>4784.7</v>
      </c>
      <c r="K33" s="16">
        <f t="shared" si="11"/>
        <v>0</v>
      </c>
      <c r="L33" s="16">
        <f t="shared" si="11"/>
        <v>0</v>
      </c>
      <c r="M33" s="16">
        <f t="shared" si="11"/>
        <v>0</v>
      </c>
      <c r="N33" s="36" t="s">
        <v>74</v>
      </c>
      <c r="O33" s="36" t="s">
        <v>50</v>
      </c>
      <c r="P33" s="7">
        <v>0</v>
      </c>
      <c r="Q33" s="36">
        <v>1.8979999999999999</v>
      </c>
      <c r="R33" s="7" t="s">
        <v>52</v>
      </c>
      <c r="S33" s="22"/>
      <c r="T33" s="7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s="26" customFormat="1" ht="116.25" customHeight="1" x14ac:dyDescent="0.25">
      <c r="A34" s="35" t="s">
        <v>75</v>
      </c>
      <c r="B34" s="36">
        <v>13783.61</v>
      </c>
      <c r="C34" s="16">
        <f>E34+G34+I34+K34+L34</f>
        <v>13881.25</v>
      </c>
      <c r="D34" s="16">
        <f>F34+H34+J34+K34+M34</f>
        <v>13881.25</v>
      </c>
      <c r="E34" s="36">
        <v>5941.23</v>
      </c>
      <c r="F34" s="36">
        <v>5941.23</v>
      </c>
      <c r="G34" s="36">
        <v>6451.22</v>
      </c>
      <c r="H34" s="36">
        <v>6451.22</v>
      </c>
      <c r="I34" s="36">
        <v>1488.8</v>
      </c>
      <c r="J34" s="36">
        <v>1488.8</v>
      </c>
      <c r="K34" s="36">
        <v>0</v>
      </c>
      <c r="L34" s="36">
        <v>0</v>
      </c>
      <c r="M34" s="36">
        <v>0</v>
      </c>
      <c r="N34" s="36" t="s">
        <v>76</v>
      </c>
      <c r="O34" s="36" t="s">
        <v>50</v>
      </c>
      <c r="P34" s="7">
        <v>0</v>
      </c>
      <c r="Q34" s="36">
        <v>0.56799999999999995</v>
      </c>
      <c r="R34" s="7" t="s">
        <v>52</v>
      </c>
      <c r="S34" s="22"/>
      <c r="T34" s="7" t="s">
        <v>77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s="26" customFormat="1" ht="102.75" customHeight="1" x14ac:dyDescent="0.25">
      <c r="A35" s="35" t="s">
        <v>78</v>
      </c>
      <c r="B35" s="36">
        <v>8706.75</v>
      </c>
      <c r="C35" s="16">
        <f>E35+G35+I35+K35+L35</f>
        <v>9163.75</v>
      </c>
      <c r="D35" s="16">
        <f>F35+H35+J35+K35+M35</f>
        <v>11218.05</v>
      </c>
      <c r="E35" s="36">
        <v>7906.75</v>
      </c>
      <c r="F35" s="36">
        <v>7447.75</v>
      </c>
      <c r="G35" s="36">
        <v>0</v>
      </c>
      <c r="H35" s="36">
        <v>2262</v>
      </c>
      <c r="I35" s="36">
        <v>1257</v>
      </c>
      <c r="J35" s="36">
        <v>1508.3</v>
      </c>
      <c r="K35" s="36">
        <v>0</v>
      </c>
      <c r="L35" s="36">
        <v>0</v>
      </c>
      <c r="M35" s="36">
        <v>0</v>
      </c>
      <c r="N35" s="36" t="s">
        <v>76</v>
      </c>
      <c r="O35" s="36" t="s">
        <v>50</v>
      </c>
      <c r="P35" s="7">
        <v>0</v>
      </c>
      <c r="Q35" s="36">
        <v>1.33</v>
      </c>
      <c r="R35" s="7" t="s">
        <v>52</v>
      </c>
      <c r="S35" s="22"/>
      <c r="T35" s="7" t="s">
        <v>79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s="26" customFormat="1" ht="102.75" customHeight="1" x14ac:dyDescent="0.25">
      <c r="A36" s="35" t="s">
        <v>80</v>
      </c>
      <c r="B36" s="36">
        <v>82264.210000000006</v>
      </c>
      <c r="C36" s="16">
        <f>E36+G36+I36+K36+L36</f>
        <v>13840.869999999999</v>
      </c>
      <c r="D36" s="16">
        <f>F36+H36+J36+K36+M36</f>
        <v>17875.899999999998</v>
      </c>
      <c r="E36" s="36">
        <v>0</v>
      </c>
      <c r="F36" s="36">
        <v>0</v>
      </c>
      <c r="G36" s="36">
        <v>12647.07</v>
      </c>
      <c r="H36" s="36">
        <v>16088.3</v>
      </c>
      <c r="I36" s="36">
        <v>1193.8</v>
      </c>
      <c r="J36" s="36">
        <v>1787.6</v>
      </c>
      <c r="K36" s="36">
        <v>0</v>
      </c>
      <c r="L36" s="36">
        <v>0</v>
      </c>
      <c r="M36" s="36">
        <v>0</v>
      </c>
      <c r="N36" s="36" t="s">
        <v>76</v>
      </c>
      <c r="O36" s="36" t="s">
        <v>50</v>
      </c>
      <c r="P36" s="7">
        <v>0</v>
      </c>
      <c r="Q36" s="36">
        <v>0</v>
      </c>
      <c r="R36" s="7" t="s">
        <v>52</v>
      </c>
      <c r="S36" s="22"/>
      <c r="T36" s="7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s="26" customFormat="1" ht="102.75" customHeight="1" x14ac:dyDescent="0.25">
      <c r="A37" s="35" t="s">
        <v>81</v>
      </c>
      <c r="B37" s="36">
        <v>27386.720000000001</v>
      </c>
      <c r="C37" s="16">
        <f>E37+G37+I37+K37+L37</f>
        <v>0</v>
      </c>
      <c r="D37" s="16">
        <f>F37+H37+J37+K37+M37</f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 t="s">
        <v>76</v>
      </c>
      <c r="O37" s="36" t="s">
        <v>50</v>
      </c>
      <c r="P37" s="7">
        <v>0</v>
      </c>
      <c r="Q37" s="36">
        <v>0</v>
      </c>
      <c r="R37" s="7" t="s">
        <v>52</v>
      </c>
      <c r="S37" s="22"/>
      <c r="T37" s="7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02.75" customHeight="1" x14ac:dyDescent="0.25">
      <c r="A38" s="35" t="s">
        <v>82</v>
      </c>
      <c r="B38" s="37">
        <f t="shared" ref="B38:M38" si="12">B39+B57</f>
        <v>972602.87010000006</v>
      </c>
      <c r="C38" s="37">
        <f t="shared" si="12"/>
        <v>857059.91269999999</v>
      </c>
      <c r="D38" s="37">
        <f t="shared" si="12"/>
        <v>856872.23982000002</v>
      </c>
      <c r="E38" s="37">
        <f t="shared" si="12"/>
        <v>446927.96800000005</v>
      </c>
      <c r="F38" s="37">
        <f t="shared" si="12"/>
        <v>446864.95562000002</v>
      </c>
      <c r="G38" s="37">
        <f t="shared" si="12"/>
        <v>297522.04469999997</v>
      </c>
      <c r="H38" s="37">
        <f t="shared" si="12"/>
        <v>297397.38419999997</v>
      </c>
      <c r="I38" s="37">
        <f t="shared" si="12"/>
        <v>0</v>
      </c>
      <c r="J38" s="37">
        <f t="shared" si="12"/>
        <v>0</v>
      </c>
      <c r="K38" s="37">
        <f t="shared" si="12"/>
        <v>112609.9</v>
      </c>
      <c r="L38" s="37">
        <f t="shared" si="12"/>
        <v>0</v>
      </c>
      <c r="M38" s="37">
        <f t="shared" si="12"/>
        <v>0</v>
      </c>
      <c r="N38" s="36" t="s">
        <v>83</v>
      </c>
      <c r="O38" s="36" t="s">
        <v>84</v>
      </c>
      <c r="P38" s="7">
        <v>102.1</v>
      </c>
      <c r="Q38" s="36">
        <v>101.7</v>
      </c>
      <c r="R38" s="22">
        <v>104.6</v>
      </c>
      <c r="S38" s="22">
        <f>R38-Q38</f>
        <v>2.8999999999999915</v>
      </c>
      <c r="T38" s="7"/>
      <c r="U38" s="6">
        <v>15</v>
      </c>
    </row>
    <row r="39" spans="1:33" ht="78.75" customHeight="1" x14ac:dyDescent="0.25">
      <c r="A39" s="241" t="s">
        <v>85</v>
      </c>
      <c r="B39" s="239">
        <f t="shared" ref="B39:M39" si="13">B42</f>
        <v>66110</v>
      </c>
      <c r="C39" s="239">
        <f t="shared" si="13"/>
        <v>170870.43</v>
      </c>
      <c r="D39" s="239">
        <f t="shared" si="13"/>
        <v>170812.52</v>
      </c>
      <c r="E39" s="239">
        <f t="shared" si="13"/>
        <v>42935.240000000005</v>
      </c>
      <c r="F39" s="239">
        <f t="shared" si="13"/>
        <v>42877.33</v>
      </c>
      <c r="G39" s="239">
        <f t="shared" si="13"/>
        <v>15325.29</v>
      </c>
      <c r="H39" s="239">
        <f t="shared" si="13"/>
        <v>15325.29</v>
      </c>
      <c r="I39" s="239">
        <f t="shared" si="13"/>
        <v>0</v>
      </c>
      <c r="J39" s="239">
        <f t="shared" si="13"/>
        <v>0</v>
      </c>
      <c r="K39" s="239">
        <f t="shared" si="13"/>
        <v>112609.9</v>
      </c>
      <c r="L39" s="239">
        <f t="shared" si="13"/>
        <v>0</v>
      </c>
      <c r="M39" s="239">
        <f t="shared" si="13"/>
        <v>0</v>
      </c>
      <c r="N39" s="7" t="s">
        <v>86</v>
      </c>
      <c r="O39" s="7" t="s">
        <v>87</v>
      </c>
      <c r="P39" s="7">
        <v>15</v>
      </c>
      <c r="Q39" s="7">
        <v>33</v>
      </c>
      <c r="R39" s="7">
        <v>35</v>
      </c>
      <c r="S39" s="22">
        <f>R39-Q39</f>
        <v>2</v>
      </c>
      <c r="T39" s="7"/>
      <c r="U39" s="6">
        <v>16</v>
      </c>
    </row>
    <row r="40" spans="1:33" ht="93.75" customHeight="1" x14ac:dyDescent="0.25">
      <c r="A40" s="241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7" t="s">
        <v>88</v>
      </c>
      <c r="O40" s="7" t="s">
        <v>89</v>
      </c>
      <c r="P40" s="7">
        <v>515</v>
      </c>
      <c r="Q40" s="7">
        <v>520</v>
      </c>
      <c r="R40" s="7">
        <v>520</v>
      </c>
      <c r="S40" s="22">
        <f>R40/Q40*100</f>
        <v>100</v>
      </c>
      <c r="T40" s="7"/>
      <c r="U40" s="6">
        <v>17</v>
      </c>
    </row>
    <row r="41" spans="1:33" ht="35.25" customHeight="1" x14ac:dyDescent="0.25">
      <c r="A41" s="231" t="s">
        <v>90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</row>
    <row r="42" spans="1:33" ht="76.5" customHeight="1" x14ac:dyDescent="0.25">
      <c r="A42" s="241" t="s">
        <v>91</v>
      </c>
      <c r="B42" s="233">
        <f t="shared" ref="B42:M42" si="14">B44+B51</f>
        <v>66110</v>
      </c>
      <c r="C42" s="242">
        <f t="shared" si="14"/>
        <v>170870.43</v>
      </c>
      <c r="D42" s="233">
        <f t="shared" si="14"/>
        <v>170812.52</v>
      </c>
      <c r="E42" s="233">
        <f t="shared" si="14"/>
        <v>42935.240000000005</v>
      </c>
      <c r="F42" s="233">
        <f t="shared" si="14"/>
        <v>42877.33</v>
      </c>
      <c r="G42" s="233">
        <f t="shared" si="14"/>
        <v>15325.29</v>
      </c>
      <c r="H42" s="233">
        <f t="shared" si="14"/>
        <v>15325.29</v>
      </c>
      <c r="I42" s="233">
        <f t="shared" si="14"/>
        <v>0</v>
      </c>
      <c r="J42" s="233">
        <f t="shared" si="14"/>
        <v>0</v>
      </c>
      <c r="K42" s="233">
        <f t="shared" si="14"/>
        <v>112609.9</v>
      </c>
      <c r="L42" s="233">
        <f t="shared" si="14"/>
        <v>0</v>
      </c>
      <c r="M42" s="233">
        <f t="shared" si="14"/>
        <v>0</v>
      </c>
      <c r="N42" s="7" t="s">
        <v>92</v>
      </c>
      <c r="O42" s="7" t="s">
        <v>87</v>
      </c>
      <c r="P42" s="7">
        <v>15</v>
      </c>
      <c r="Q42" s="7">
        <v>33</v>
      </c>
      <c r="R42" s="7">
        <v>35</v>
      </c>
      <c r="S42" s="22">
        <f>R42-Q42</f>
        <v>2</v>
      </c>
      <c r="T42" s="7"/>
    </row>
    <row r="43" spans="1:33" ht="89.25" customHeight="1" x14ac:dyDescent="0.25">
      <c r="A43" s="241"/>
      <c r="B43" s="233"/>
      <c r="C43" s="242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7" t="s">
        <v>93</v>
      </c>
      <c r="O43" s="7" t="s">
        <v>94</v>
      </c>
      <c r="P43" s="17">
        <v>515</v>
      </c>
      <c r="Q43" s="7">
        <v>358</v>
      </c>
      <c r="R43" s="7">
        <v>520</v>
      </c>
      <c r="S43" s="22">
        <f>R43/Q43*100</f>
        <v>145.2513966480447</v>
      </c>
      <c r="T43" s="17"/>
    </row>
    <row r="44" spans="1:33" ht="85.5" customHeight="1" x14ac:dyDescent="0.25">
      <c r="A44" s="241" t="s">
        <v>95</v>
      </c>
      <c r="B44" s="239">
        <f t="shared" ref="B44:M44" si="15">B46+B51+B53</f>
        <v>66110</v>
      </c>
      <c r="C44" s="239">
        <f t="shared" si="15"/>
        <v>170870.43</v>
      </c>
      <c r="D44" s="239">
        <f t="shared" si="15"/>
        <v>170812.52</v>
      </c>
      <c r="E44" s="239">
        <f t="shared" si="15"/>
        <v>42935.240000000005</v>
      </c>
      <c r="F44" s="239">
        <f t="shared" si="15"/>
        <v>42877.33</v>
      </c>
      <c r="G44" s="239">
        <f t="shared" si="15"/>
        <v>15325.29</v>
      </c>
      <c r="H44" s="239">
        <f t="shared" si="15"/>
        <v>15325.29</v>
      </c>
      <c r="I44" s="239">
        <f t="shared" si="15"/>
        <v>0</v>
      </c>
      <c r="J44" s="239">
        <f t="shared" si="15"/>
        <v>0</v>
      </c>
      <c r="K44" s="239">
        <f t="shared" si="15"/>
        <v>112609.9</v>
      </c>
      <c r="L44" s="239">
        <f t="shared" si="15"/>
        <v>0</v>
      </c>
      <c r="M44" s="239">
        <f t="shared" si="15"/>
        <v>0</v>
      </c>
      <c r="N44" s="7" t="s">
        <v>96</v>
      </c>
      <c r="O44" s="7" t="s">
        <v>97</v>
      </c>
      <c r="P44" s="24">
        <v>1.8</v>
      </c>
      <c r="Q44" s="24">
        <v>2.7</v>
      </c>
      <c r="R44" s="24">
        <v>2.7</v>
      </c>
      <c r="S44" s="24">
        <f>R44/Q44*100</f>
        <v>100</v>
      </c>
      <c r="T44" s="24"/>
      <c r="U44" s="6">
        <v>18</v>
      </c>
    </row>
    <row r="45" spans="1:33" ht="69" customHeight="1" x14ac:dyDescent="0.25">
      <c r="A45" s="241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7" t="s">
        <v>98</v>
      </c>
      <c r="O45" s="7" t="s">
        <v>99</v>
      </c>
      <c r="P45" s="17" t="s">
        <v>52</v>
      </c>
      <c r="Q45" s="17" t="s">
        <v>52</v>
      </c>
      <c r="R45" s="17" t="s">
        <v>52</v>
      </c>
      <c r="S45" s="17" t="s">
        <v>52</v>
      </c>
      <c r="T45" s="17"/>
    </row>
    <row r="46" spans="1:33" ht="91.5" customHeight="1" x14ac:dyDescent="0.25">
      <c r="A46" s="15" t="s">
        <v>100</v>
      </c>
      <c r="B46" s="7">
        <v>49344</v>
      </c>
      <c r="C46" s="16">
        <f>E46+G46+I46+K46+L46</f>
        <v>157320.81</v>
      </c>
      <c r="D46" s="16">
        <f>F46+H46+J46+K46+M46</f>
        <v>157262.9</v>
      </c>
      <c r="E46" s="7">
        <v>35901.910000000003</v>
      </c>
      <c r="F46" s="7">
        <v>35844</v>
      </c>
      <c r="G46" s="7">
        <v>13500</v>
      </c>
      <c r="H46" s="7">
        <v>13500</v>
      </c>
      <c r="I46" s="7">
        <v>0</v>
      </c>
      <c r="J46" s="7">
        <v>0</v>
      </c>
      <c r="K46" s="7">
        <v>107918.9</v>
      </c>
      <c r="L46" s="7">
        <v>0</v>
      </c>
      <c r="M46" s="7">
        <v>0</v>
      </c>
      <c r="N46" s="7" t="s">
        <v>101</v>
      </c>
      <c r="O46" s="7" t="s">
        <v>97</v>
      </c>
      <c r="P46" s="17">
        <v>1</v>
      </c>
      <c r="Q46" s="17">
        <v>1.7</v>
      </c>
      <c r="R46" s="17">
        <v>1.75</v>
      </c>
      <c r="S46" s="24">
        <f>R46/Q46*100</f>
        <v>102.94117647058825</v>
      </c>
      <c r="T46" s="17"/>
      <c r="U46" s="6">
        <v>19</v>
      </c>
    </row>
    <row r="47" spans="1:33" ht="72.75" customHeight="1" x14ac:dyDescent="0.25">
      <c r="A47" s="21" t="s">
        <v>102</v>
      </c>
      <c r="B47" s="7">
        <v>0</v>
      </c>
      <c r="C47" s="16">
        <f>E47+G47+I47+K47+L47</f>
        <v>0</v>
      </c>
      <c r="D47" s="16">
        <f>F47+H47+J47+K47+M47</f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 t="s">
        <v>103</v>
      </c>
      <c r="O47" s="7" t="s">
        <v>104</v>
      </c>
      <c r="P47" s="17">
        <v>0.78</v>
      </c>
      <c r="Q47" s="17">
        <v>1</v>
      </c>
      <c r="R47" s="17">
        <v>1</v>
      </c>
      <c r="S47" s="24">
        <f>R47/Q47*100</f>
        <v>100</v>
      </c>
      <c r="T47" s="17"/>
      <c r="U47" s="6">
        <v>20</v>
      </c>
    </row>
    <row r="48" spans="1:33" ht="84" customHeight="1" x14ac:dyDescent="0.25">
      <c r="A48" s="15" t="s">
        <v>105</v>
      </c>
      <c r="B48" s="7">
        <v>0</v>
      </c>
      <c r="C48" s="16">
        <f>E48+G48+I48+K48+L48</f>
        <v>0</v>
      </c>
      <c r="D48" s="16">
        <f>F48+H48+J48+K48+M48</f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 t="s">
        <v>106</v>
      </c>
      <c r="O48" s="7" t="s">
        <v>107</v>
      </c>
      <c r="P48" s="7">
        <v>0</v>
      </c>
      <c r="Q48" s="7">
        <v>21</v>
      </c>
      <c r="R48" s="7">
        <v>0</v>
      </c>
      <c r="S48" s="22">
        <f>R48/Q48*100</f>
        <v>0</v>
      </c>
      <c r="T48" s="7" t="s">
        <v>108</v>
      </c>
      <c r="U48" s="6">
        <v>21</v>
      </c>
    </row>
    <row r="49" spans="1:33" ht="54" customHeight="1" x14ac:dyDescent="0.25">
      <c r="A49" s="21" t="s">
        <v>109</v>
      </c>
      <c r="B49" s="7">
        <v>0</v>
      </c>
      <c r="C49" s="16">
        <f>E49+G49+I49+K49+L49</f>
        <v>0</v>
      </c>
      <c r="D49" s="16">
        <f>F49+H49+J49+K49+M49</f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 t="s">
        <v>110</v>
      </c>
      <c r="O49" s="7" t="s">
        <v>99</v>
      </c>
      <c r="P49" s="7">
        <v>0</v>
      </c>
      <c r="Q49" s="7">
        <v>0</v>
      </c>
      <c r="R49" s="7">
        <v>0</v>
      </c>
      <c r="S49" s="7" t="s">
        <v>52</v>
      </c>
      <c r="T49" s="7"/>
    </row>
    <row r="50" spans="1:33" ht="80.25" customHeight="1" x14ac:dyDescent="0.25">
      <c r="A50" s="21" t="s">
        <v>111</v>
      </c>
      <c r="B50" s="7">
        <v>0</v>
      </c>
      <c r="C50" s="16">
        <f>E50+G50+I50+K50+L50</f>
        <v>0</v>
      </c>
      <c r="D50" s="16">
        <f>F50+H50+J50+K50+M50</f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 t="s">
        <v>112</v>
      </c>
      <c r="O50" s="7" t="s">
        <v>99</v>
      </c>
      <c r="P50" s="7">
        <v>0</v>
      </c>
      <c r="Q50" s="7">
        <v>0</v>
      </c>
      <c r="R50" s="7">
        <v>0</v>
      </c>
      <c r="S50" s="7" t="s">
        <v>52</v>
      </c>
      <c r="T50" s="7"/>
    </row>
    <row r="51" spans="1:33" ht="86.25" customHeight="1" x14ac:dyDescent="0.25">
      <c r="A51" s="35" t="s">
        <v>113</v>
      </c>
      <c r="B51" s="37">
        <f t="shared" ref="B51:M51" si="16">B52</f>
        <v>0</v>
      </c>
      <c r="C51" s="37">
        <f t="shared" si="16"/>
        <v>0</v>
      </c>
      <c r="D51" s="37">
        <f t="shared" si="16"/>
        <v>0</v>
      </c>
      <c r="E51" s="37">
        <f t="shared" si="16"/>
        <v>0</v>
      </c>
      <c r="F51" s="37">
        <f t="shared" si="16"/>
        <v>0</v>
      </c>
      <c r="G51" s="37">
        <f t="shared" si="16"/>
        <v>0</v>
      </c>
      <c r="H51" s="37">
        <f t="shared" si="16"/>
        <v>0</v>
      </c>
      <c r="I51" s="37">
        <f t="shared" si="16"/>
        <v>0</v>
      </c>
      <c r="J51" s="37">
        <f t="shared" si="16"/>
        <v>0</v>
      </c>
      <c r="K51" s="37">
        <f t="shared" si="16"/>
        <v>0</v>
      </c>
      <c r="L51" s="37">
        <f t="shared" si="16"/>
        <v>0</v>
      </c>
      <c r="M51" s="37">
        <f t="shared" si="16"/>
        <v>0</v>
      </c>
      <c r="N51" s="36" t="s">
        <v>114</v>
      </c>
      <c r="O51" s="33" t="s">
        <v>115</v>
      </c>
      <c r="P51" s="33" t="s">
        <v>116</v>
      </c>
      <c r="Q51" s="33" t="s">
        <v>117</v>
      </c>
      <c r="R51" s="33" t="s">
        <v>117</v>
      </c>
      <c r="S51" s="38">
        <v>100</v>
      </c>
      <c r="T51" s="33"/>
      <c r="U51" s="6">
        <v>22</v>
      </c>
    </row>
    <row r="52" spans="1:33" ht="99.75" customHeight="1" x14ac:dyDescent="0.25">
      <c r="A52" s="15" t="s">
        <v>118</v>
      </c>
      <c r="B52" s="7">
        <v>0</v>
      </c>
      <c r="C52" s="16">
        <f>E52+G52+I52+K52+L52</f>
        <v>0</v>
      </c>
      <c r="D52" s="16">
        <f>F52+H52+J52+K52+M52</f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 t="s">
        <v>119</v>
      </c>
      <c r="O52" s="7"/>
      <c r="P52" s="7">
        <v>1</v>
      </c>
      <c r="Q52" s="7">
        <v>1</v>
      </c>
      <c r="R52" s="7">
        <v>0</v>
      </c>
      <c r="S52" s="22">
        <f t="shared" ref="S52:S57" si="17">R52/Q52*100</f>
        <v>0</v>
      </c>
      <c r="T52" s="7"/>
      <c r="U52" s="6">
        <v>23</v>
      </c>
    </row>
    <row r="53" spans="1:33" ht="83.25" customHeight="1" x14ac:dyDescent="0.25">
      <c r="A53" s="21" t="s">
        <v>120</v>
      </c>
      <c r="B53" s="16">
        <f t="shared" ref="B53:M53" si="18">B54+B55+B56</f>
        <v>16766</v>
      </c>
      <c r="C53" s="16">
        <f t="shared" si="18"/>
        <v>13549.619999999999</v>
      </c>
      <c r="D53" s="16">
        <f t="shared" si="18"/>
        <v>13549.619999999999</v>
      </c>
      <c r="E53" s="16">
        <f t="shared" si="18"/>
        <v>7033.33</v>
      </c>
      <c r="F53" s="16">
        <f t="shared" si="18"/>
        <v>7033.33</v>
      </c>
      <c r="G53" s="16">
        <f t="shared" si="18"/>
        <v>1825.29</v>
      </c>
      <c r="H53" s="16">
        <f t="shared" si="18"/>
        <v>1825.29</v>
      </c>
      <c r="I53" s="16">
        <f t="shared" si="18"/>
        <v>0</v>
      </c>
      <c r="J53" s="16">
        <f t="shared" si="18"/>
        <v>0</v>
      </c>
      <c r="K53" s="16">
        <f t="shared" si="18"/>
        <v>4691</v>
      </c>
      <c r="L53" s="16">
        <f t="shared" si="18"/>
        <v>0</v>
      </c>
      <c r="M53" s="16">
        <f t="shared" si="18"/>
        <v>0</v>
      </c>
      <c r="N53" s="7" t="s">
        <v>121</v>
      </c>
      <c r="O53" s="7" t="s">
        <v>97</v>
      </c>
      <c r="P53" s="17">
        <v>2.6</v>
      </c>
      <c r="Q53" s="17">
        <v>3.5</v>
      </c>
      <c r="R53" s="17">
        <v>3.2839999999999998</v>
      </c>
      <c r="S53" s="24">
        <f t="shared" si="17"/>
        <v>93.828571428571422</v>
      </c>
      <c r="T53" s="7"/>
      <c r="U53" s="6">
        <v>24</v>
      </c>
    </row>
    <row r="54" spans="1:33" ht="110.25" customHeight="1" x14ac:dyDescent="0.25">
      <c r="A54" s="15" t="s">
        <v>122</v>
      </c>
      <c r="B54" s="7">
        <v>0</v>
      </c>
      <c r="C54" s="16">
        <f>E54+G54+I54+K54+L54</f>
        <v>0</v>
      </c>
      <c r="D54" s="16">
        <f>F54+H54+J54+K54+M54</f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17" t="s">
        <v>123</v>
      </c>
      <c r="O54" s="17" t="s">
        <v>97</v>
      </c>
      <c r="P54" s="17">
        <v>1.6</v>
      </c>
      <c r="Q54" s="17">
        <v>1.8</v>
      </c>
      <c r="R54" s="17">
        <v>1.8</v>
      </c>
      <c r="S54" s="24">
        <f t="shared" si="17"/>
        <v>100</v>
      </c>
      <c r="T54" s="17"/>
      <c r="U54" s="6">
        <v>25</v>
      </c>
    </row>
    <row r="55" spans="1:33" ht="87.75" customHeight="1" x14ac:dyDescent="0.25">
      <c r="A55" s="15" t="s">
        <v>124</v>
      </c>
      <c r="B55" s="7">
        <v>14435</v>
      </c>
      <c r="C55" s="16">
        <f>E55+G55+I55+K55+L55</f>
        <v>7252.92</v>
      </c>
      <c r="D55" s="16">
        <f>F55+H55+J55+K55+M55</f>
        <v>7252.92</v>
      </c>
      <c r="E55" s="7">
        <v>5802.33</v>
      </c>
      <c r="F55" s="7">
        <v>5802.33</v>
      </c>
      <c r="G55" s="7">
        <v>725.29</v>
      </c>
      <c r="H55" s="7">
        <v>725.29</v>
      </c>
      <c r="I55" s="7">
        <v>0</v>
      </c>
      <c r="J55" s="7">
        <v>0</v>
      </c>
      <c r="K55" s="7">
        <v>725.3</v>
      </c>
      <c r="L55" s="7">
        <v>0</v>
      </c>
      <c r="M55" s="7">
        <v>0</v>
      </c>
      <c r="N55" s="17" t="s">
        <v>125</v>
      </c>
      <c r="O55" s="17" t="s">
        <v>97</v>
      </c>
      <c r="P55" s="17">
        <v>0</v>
      </c>
      <c r="Q55" s="17">
        <v>0.7</v>
      </c>
      <c r="R55" s="17">
        <v>0.48399999999999999</v>
      </c>
      <c r="S55" s="17">
        <f t="shared" si="17"/>
        <v>69.142857142857153</v>
      </c>
      <c r="T55" s="17" t="s">
        <v>126</v>
      </c>
      <c r="U55" s="6">
        <v>26</v>
      </c>
    </row>
    <row r="56" spans="1:33" ht="66" customHeight="1" x14ac:dyDescent="0.25">
      <c r="A56" s="15" t="s">
        <v>127</v>
      </c>
      <c r="B56" s="7">
        <v>2331</v>
      </c>
      <c r="C56" s="16">
        <f>E56+G56+I56+K56+L56</f>
        <v>6296.7</v>
      </c>
      <c r="D56" s="16">
        <f>F56+H56+J56+K56+M56</f>
        <v>6296.7</v>
      </c>
      <c r="E56" s="7">
        <v>1231</v>
      </c>
      <c r="F56" s="7">
        <v>1231</v>
      </c>
      <c r="G56" s="7">
        <v>1100</v>
      </c>
      <c r="H56" s="7">
        <v>1100</v>
      </c>
      <c r="I56" s="7">
        <v>0</v>
      </c>
      <c r="J56" s="7">
        <v>0</v>
      </c>
      <c r="K56" s="7">
        <v>3965.7</v>
      </c>
      <c r="L56" s="7">
        <v>0</v>
      </c>
      <c r="M56" s="7">
        <v>0</v>
      </c>
      <c r="N56" s="17" t="s">
        <v>128</v>
      </c>
      <c r="O56" s="17" t="s">
        <v>97</v>
      </c>
      <c r="P56" s="17">
        <v>1</v>
      </c>
      <c r="Q56" s="17">
        <v>1</v>
      </c>
      <c r="R56" s="17">
        <v>1</v>
      </c>
      <c r="S56" s="24">
        <f t="shared" si="17"/>
        <v>100</v>
      </c>
      <c r="T56" s="17"/>
      <c r="U56" s="6">
        <v>27</v>
      </c>
    </row>
    <row r="57" spans="1:33" ht="123" customHeight="1" x14ac:dyDescent="0.25">
      <c r="A57" s="21" t="s">
        <v>129</v>
      </c>
      <c r="B57" s="16">
        <f t="shared" ref="B57:M57" si="19">B59+B87+B92</f>
        <v>906492.87010000006</v>
      </c>
      <c r="C57" s="16">
        <f t="shared" si="19"/>
        <v>686189.48270000005</v>
      </c>
      <c r="D57" s="16">
        <f t="shared" si="19"/>
        <v>686059.71982</v>
      </c>
      <c r="E57" s="16">
        <f t="shared" si="19"/>
        <v>403992.72800000006</v>
      </c>
      <c r="F57" s="16">
        <f t="shared" si="19"/>
        <v>403987.62562000001</v>
      </c>
      <c r="G57" s="16">
        <f t="shared" si="19"/>
        <v>282196.75469999999</v>
      </c>
      <c r="H57" s="16">
        <f t="shared" si="19"/>
        <v>282072.09419999999</v>
      </c>
      <c r="I57" s="16">
        <f t="shared" si="19"/>
        <v>0</v>
      </c>
      <c r="J57" s="16">
        <f t="shared" si="19"/>
        <v>0</v>
      </c>
      <c r="K57" s="16">
        <f t="shared" si="19"/>
        <v>0</v>
      </c>
      <c r="L57" s="16">
        <f t="shared" si="19"/>
        <v>0</v>
      </c>
      <c r="M57" s="16">
        <f t="shared" si="19"/>
        <v>0</v>
      </c>
      <c r="N57" s="7" t="s">
        <v>130</v>
      </c>
      <c r="O57" s="7" t="s">
        <v>131</v>
      </c>
      <c r="P57" s="7">
        <v>31</v>
      </c>
      <c r="Q57" s="7">
        <v>31.8</v>
      </c>
      <c r="R57" s="7">
        <v>37.6</v>
      </c>
      <c r="S57" s="22">
        <f t="shared" si="17"/>
        <v>118.23899371069182</v>
      </c>
      <c r="T57" s="7" t="s">
        <v>132</v>
      </c>
      <c r="U57" s="6">
        <v>28</v>
      </c>
    </row>
    <row r="58" spans="1:33" s="41" customFormat="1" ht="35.25" customHeight="1" x14ac:dyDescent="0.25">
      <c r="A58" s="231" t="s">
        <v>133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6"/>
      <c r="V58" s="6"/>
      <c r="W58" s="6"/>
      <c r="X58" s="6"/>
      <c r="Y58" s="6"/>
      <c r="Z58" s="6"/>
      <c r="AA58" s="39"/>
      <c r="AB58" s="39"/>
      <c r="AC58" s="39"/>
      <c r="AD58" s="39"/>
      <c r="AE58" s="39"/>
      <c r="AF58" s="40"/>
      <c r="AG58" s="6"/>
    </row>
    <row r="59" spans="1:33" ht="52.5" customHeight="1" x14ac:dyDescent="0.25">
      <c r="A59" s="232" t="s">
        <v>134</v>
      </c>
      <c r="B59" s="233">
        <f t="shared" ref="B59:M59" si="20">B61+B69+B77+B80+B83</f>
        <v>800106.95680000004</v>
      </c>
      <c r="C59" s="233">
        <f t="shared" si="20"/>
        <v>586160.94030000002</v>
      </c>
      <c r="D59" s="233">
        <f t="shared" si="20"/>
        <v>586155.83992000006</v>
      </c>
      <c r="E59" s="233">
        <f t="shared" si="20"/>
        <v>403992.72800000006</v>
      </c>
      <c r="F59" s="233">
        <f t="shared" si="20"/>
        <v>403987.62562000001</v>
      </c>
      <c r="G59" s="233">
        <f t="shared" si="20"/>
        <v>182168.21229999998</v>
      </c>
      <c r="H59" s="233">
        <f t="shared" si="20"/>
        <v>182168.21429999999</v>
      </c>
      <c r="I59" s="233">
        <f t="shared" si="20"/>
        <v>0</v>
      </c>
      <c r="J59" s="233">
        <f t="shared" si="20"/>
        <v>0</v>
      </c>
      <c r="K59" s="233">
        <f t="shared" si="20"/>
        <v>0</v>
      </c>
      <c r="L59" s="233">
        <f t="shared" si="20"/>
        <v>0</v>
      </c>
      <c r="M59" s="233">
        <f t="shared" si="20"/>
        <v>0</v>
      </c>
      <c r="N59" s="17" t="s">
        <v>135</v>
      </c>
      <c r="O59" s="7" t="s">
        <v>24</v>
      </c>
      <c r="P59" s="7">
        <v>102.1</v>
      </c>
      <c r="Q59" s="17">
        <v>101.7</v>
      </c>
      <c r="R59" s="22">
        <v>104.6</v>
      </c>
      <c r="S59" s="22">
        <f>R59-Q59</f>
        <v>2.8999999999999915</v>
      </c>
      <c r="T59" s="7" t="s">
        <v>132</v>
      </c>
      <c r="U59" s="6">
        <v>29</v>
      </c>
    </row>
    <row r="60" spans="1:33" ht="63.75" customHeight="1" x14ac:dyDescent="0.25">
      <c r="A60" s="232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17" t="s">
        <v>136</v>
      </c>
      <c r="O60" s="7" t="s">
        <v>24</v>
      </c>
      <c r="P60" s="7">
        <v>100</v>
      </c>
      <c r="Q60" s="17">
        <v>101.5</v>
      </c>
      <c r="R60" s="18">
        <v>101.5</v>
      </c>
      <c r="S60" s="19"/>
      <c r="T60" s="18" t="s">
        <v>25</v>
      </c>
      <c r="U60" s="6">
        <v>30</v>
      </c>
    </row>
    <row r="61" spans="1:33" ht="50.25" customHeight="1" x14ac:dyDescent="0.25">
      <c r="A61" s="42" t="s">
        <v>137</v>
      </c>
      <c r="B61" s="16">
        <f t="shared" ref="B61:M61" si="21">B62+B64+B67+B68</f>
        <v>616993.34880000004</v>
      </c>
      <c r="C61" s="16">
        <f t="shared" si="21"/>
        <v>423738.96730000002</v>
      </c>
      <c r="D61" s="16">
        <f t="shared" si="21"/>
        <v>423733.86692</v>
      </c>
      <c r="E61" s="16">
        <f t="shared" si="21"/>
        <v>297814.05500000005</v>
      </c>
      <c r="F61" s="16">
        <f t="shared" si="21"/>
        <v>297808.95262</v>
      </c>
      <c r="G61" s="16">
        <f t="shared" si="21"/>
        <v>125924.9123</v>
      </c>
      <c r="H61" s="16">
        <f t="shared" si="21"/>
        <v>125924.9143</v>
      </c>
      <c r="I61" s="16">
        <f t="shared" si="21"/>
        <v>0</v>
      </c>
      <c r="J61" s="16">
        <f t="shared" si="21"/>
        <v>0</v>
      </c>
      <c r="K61" s="16">
        <f t="shared" si="21"/>
        <v>0</v>
      </c>
      <c r="L61" s="16">
        <f t="shared" si="21"/>
        <v>0</v>
      </c>
      <c r="M61" s="16">
        <f t="shared" si="21"/>
        <v>0</v>
      </c>
      <c r="N61" s="43" t="s">
        <v>138</v>
      </c>
      <c r="O61" s="17" t="s">
        <v>139</v>
      </c>
      <c r="P61" s="22">
        <v>176.4</v>
      </c>
      <c r="Q61" s="24">
        <v>129.1</v>
      </c>
      <c r="R61" s="22">
        <v>200</v>
      </c>
      <c r="S61" s="22">
        <f t="shared" ref="S61:S78" si="22">R61/Q61*100</f>
        <v>154.91866769945779</v>
      </c>
      <c r="T61" s="7" t="s">
        <v>140</v>
      </c>
      <c r="U61" s="6">
        <v>30</v>
      </c>
    </row>
    <row r="62" spans="1:33" ht="92.25" customHeight="1" x14ac:dyDescent="0.25">
      <c r="A62" s="240" t="s">
        <v>141</v>
      </c>
      <c r="B62" s="235">
        <v>163925.04440000001</v>
      </c>
      <c r="C62" s="239">
        <f>E62+G62+I62+K62+L62</f>
        <v>148390.565</v>
      </c>
      <c r="D62" s="239">
        <f>F62+H62+J62+K62+M62</f>
        <v>148385.565</v>
      </c>
      <c r="E62" s="234">
        <v>108992.5</v>
      </c>
      <c r="F62" s="234">
        <v>108987.5</v>
      </c>
      <c r="G62" s="234">
        <v>39398.065000000002</v>
      </c>
      <c r="H62" s="234">
        <v>39398.065000000002</v>
      </c>
      <c r="I62" s="234">
        <v>0</v>
      </c>
      <c r="J62" s="234">
        <v>0</v>
      </c>
      <c r="K62" s="234">
        <v>0</v>
      </c>
      <c r="L62" s="234">
        <v>0</v>
      </c>
      <c r="M62" s="234">
        <v>0</v>
      </c>
      <c r="N62" s="33" t="s">
        <v>142</v>
      </c>
      <c r="O62" s="33" t="s">
        <v>143</v>
      </c>
      <c r="P62" s="33">
        <v>172</v>
      </c>
      <c r="Q62" s="33">
        <v>172.5</v>
      </c>
      <c r="R62" s="38">
        <v>172.5</v>
      </c>
      <c r="S62" s="38">
        <f t="shared" si="22"/>
        <v>100</v>
      </c>
      <c r="T62" s="33"/>
      <c r="U62" s="6">
        <v>31</v>
      </c>
    </row>
    <row r="63" spans="1:33" ht="104.25" customHeight="1" x14ac:dyDescent="0.25">
      <c r="A63" s="240"/>
      <c r="B63" s="235"/>
      <c r="C63" s="239"/>
      <c r="D63" s="239"/>
      <c r="E63" s="234"/>
      <c r="F63" s="234">
        <v>108987.5</v>
      </c>
      <c r="G63" s="234"/>
      <c r="H63" s="234"/>
      <c r="I63" s="234"/>
      <c r="J63" s="234"/>
      <c r="K63" s="234"/>
      <c r="L63" s="234"/>
      <c r="M63" s="234"/>
      <c r="N63" s="33" t="s">
        <v>144</v>
      </c>
      <c r="O63" s="33" t="s">
        <v>145</v>
      </c>
      <c r="P63" s="33">
        <v>417</v>
      </c>
      <c r="Q63" s="33">
        <v>420</v>
      </c>
      <c r="R63" s="33">
        <v>420</v>
      </c>
      <c r="S63" s="38">
        <f t="shared" si="22"/>
        <v>100</v>
      </c>
      <c r="T63" s="33"/>
      <c r="U63" s="20">
        <v>32</v>
      </c>
    </row>
    <row r="64" spans="1:33" ht="42" customHeight="1" x14ac:dyDescent="0.25">
      <c r="A64" s="232" t="s">
        <v>146</v>
      </c>
      <c r="B64" s="234">
        <v>123300.3786</v>
      </c>
      <c r="C64" s="239">
        <f>E64+G64+I64+K64+L64</f>
        <v>97757.758000000002</v>
      </c>
      <c r="D64" s="239">
        <f>F64+H64+J64+K64+M64</f>
        <v>97757.757719999994</v>
      </c>
      <c r="E64" s="234">
        <v>51033.665000000001</v>
      </c>
      <c r="F64" s="234">
        <v>51033.664720000001</v>
      </c>
      <c r="G64" s="234">
        <v>46724.093000000001</v>
      </c>
      <c r="H64" s="234">
        <v>46724.093000000001</v>
      </c>
      <c r="I64" s="234">
        <v>0</v>
      </c>
      <c r="J64" s="234">
        <v>0</v>
      </c>
      <c r="K64" s="234">
        <v>0</v>
      </c>
      <c r="L64" s="234">
        <v>0</v>
      </c>
      <c r="M64" s="234">
        <v>0</v>
      </c>
      <c r="N64" s="17" t="s">
        <v>147</v>
      </c>
      <c r="O64" s="7" t="s">
        <v>24</v>
      </c>
      <c r="P64" s="17">
        <v>8.5</v>
      </c>
      <c r="Q64" s="7">
        <v>14</v>
      </c>
      <c r="R64" s="17">
        <v>14</v>
      </c>
      <c r="S64" s="24">
        <f t="shared" si="22"/>
        <v>100</v>
      </c>
      <c r="T64" s="17"/>
      <c r="U64" s="20">
        <v>33</v>
      </c>
    </row>
    <row r="65" spans="1:21" ht="42.75" customHeight="1" x14ac:dyDescent="0.25">
      <c r="A65" s="232"/>
      <c r="B65" s="234"/>
      <c r="C65" s="239"/>
      <c r="D65" s="239"/>
      <c r="E65" s="234"/>
      <c r="F65" s="234"/>
      <c r="G65" s="234"/>
      <c r="H65" s="234"/>
      <c r="I65" s="234"/>
      <c r="J65" s="234"/>
      <c r="K65" s="234"/>
      <c r="L65" s="234"/>
      <c r="M65" s="234"/>
      <c r="N65" s="17" t="s">
        <v>148</v>
      </c>
      <c r="O65" s="17" t="s">
        <v>97</v>
      </c>
      <c r="P65" s="17">
        <v>60.5</v>
      </c>
      <c r="Q65" s="17">
        <v>60.5</v>
      </c>
      <c r="R65" s="17">
        <v>63.7</v>
      </c>
      <c r="S65" s="24">
        <f t="shared" si="22"/>
        <v>105.2892561983471</v>
      </c>
      <c r="T65" s="17"/>
      <c r="U65" s="20">
        <v>34</v>
      </c>
    </row>
    <row r="66" spans="1:21" ht="41.25" customHeight="1" x14ac:dyDescent="0.25">
      <c r="A66" s="232"/>
      <c r="B66" s="234"/>
      <c r="C66" s="239"/>
      <c r="D66" s="239"/>
      <c r="E66" s="234"/>
      <c r="F66" s="234"/>
      <c r="G66" s="234"/>
      <c r="H66" s="234"/>
      <c r="I66" s="234"/>
      <c r="J66" s="234"/>
      <c r="K66" s="234"/>
      <c r="L66" s="234"/>
      <c r="M66" s="234"/>
      <c r="N66" s="17" t="s">
        <v>149</v>
      </c>
      <c r="O66" s="17" t="s">
        <v>97</v>
      </c>
      <c r="P66" s="17">
        <v>2.8000000000000001E-2</v>
      </c>
      <c r="Q66" s="17">
        <v>1.4E-2</v>
      </c>
      <c r="R66" s="44">
        <v>2.8000000000000001E-2</v>
      </c>
      <c r="S66" s="24">
        <f t="shared" si="22"/>
        <v>200</v>
      </c>
      <c r="T66" s="17"/>
      <c r="U66" s="20">
        <v>35</v>
      </c>
    </row>
    <row r="67" spans="1:21" ht="50.25" customHeight="1" x14ac:dyDescent="0.25">
      <c r="A67" s="42" t="s">
        <v>150</v>
      </c>
      <c r="B67" s="17">
        <v>6348.4210000000003</v>
      </c>
      <c r="C67" s="16">
        <f>E67+G67+I67+K67+L67</f>
        <v>6612.9133000000002</v>
      </c>
      <c r="D67" s="16">
        <f>F67+H67+J67+K67+M67</f>
        <v>6612.9133000000002</v>
      </c>
      <c r="E67" s="17">
        <v>0</v>
      </c>
      <c r="F67" s="17">
        <v>0</v>
      </c>
      <c r="G67" s="17">
        <v>6612.9133000000002</v>
      </c>
      <c r="H67" s="17">
        <v>6612.9133000000002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43" t="s">
        <v>151</v>
      </c>
      <c r="O67" s="17" t="s">
        <v>107</v>
      </c>
      <c r="P67" s="17">
        <v>91</v>
      </c>
      <c r="Q67" s="17">
        <v>25</v>
      </c>
      <c r="R67" s="7">
        <v>73</v>
      </c>
      <c r="S67" s="22">
        <f t="shared" si="22"/>
        <v>292</v>
      </c>
      <c r="T67" s="43"/>
      <c r="U67" s="20">
        <f t="shared" ref="U67:U79" si="23">U66+1</f>
        <v>36</v>
      </c>
    </row>
    <row r="68" spans="1:21" ht="71.25" customHeight="1" x14ac:dyDescent="0.25">
      <c r="A68" s="15" t="s">
        <v>152</v>
      </c>
      <c r="B68" s="17">
        <v>323419.5048</v>
      </c>
      <c r="C68" s="16">
        <f>E68+G68+I68+K68+L68</f>
        <v>170977.73100000003</v>
      </c>
      <c r="D68" s="16">
        <f>F68+H68+J68+K68+M68</f>
        <v>170977.63089999999</v>
      </c>
      <c r="E68" s="17">
        <v>137787.89000000001</v>
      </c>
      <c r="F68" s="17">
        <v>137787.7879</v>
      </c>
      <c r="G68" s="17">
        <v>33189.841</v>
      </c>
      <c r="H68" s="17">
        <v>33189.843000000001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33" t="s">
        <v>153</v>
      </c>
      <c r="O68" s="17" t="s">
        <v>154</v>
      </c>
      <c r="P68" s="17">
        <v>1.7</v>
      </c>
      <c r="Q68" s="24">
        <v>0.7</v>
      </c>
      <c r="R68" s="45">
        <v>0.75</v>
      </c>
      <c r="S68" s="22">
        <f t="shared" si="22"/>
        <v>107.14285714285714</v>
      </c>
      <c r="T68" s="22"/>
      <c r="U68" s="20">
        <f t="shared" si="23"/>
        <v>37</v>
      </c>
    </row>
    <row r="69" spans="1:21" ht="59.25" customHeight="1" x14ac:dyDescent="0.25">
      <c r="A69" s="15" t="s">
        <v>155</v>
      </c>
      <c r="B69" s="16">
        <f t="shared" ref="B69:M69" si="24">B70+B73+B76</f>
        <v>126985.96</v>
      </c>
      <c r="C69" s="16">
        <f t="shared" si="24"/>
        <v>126748.798</v>
      </c>
      <c r="D69" s="16">
        <f t="shared" si="24"/>
        <v>126748.798</v>
      </c>
      <c r="E69" s="16">
        <f t="shared" si="24"/>
        <v>99243.672999999995</v>
      </c>
      <c r="F69" s="16">
        <f t="shared" si="24"/>
        <v>99243.672999999995</v>
      </c>
      <c r="G69" s="16">
        <f t="shared" si="24"/>
        <v>27505.125</v>
      </c>
      <c r="H69" s="16">
        <f t="shared" si="24"/>
        <v>27505.125</v>
      </c>
      <c r="I69" s="16">
        <f t="shared" si="24"/>
        <v>0</v>
      </c>
      <c r="J69" s="16">
        <f t="shared" si="24"/>
        <v>0</v>
      </c>
      <c r="K69" s="16">
        <f t="shared" si="24"/>
        <v>0</v>
      </c>
      <c r="L69" s="16">
        <f t="shared" si="24"/>
        <v>0</v>
      </c>
      <c r="M69" s="16">
        <f t="shared" si="24"/>
        <v>0</v>
      </c>
      <c r="N69" s="17" t="s">
        <v>156</v>
      </c>
      <c r="O69" s="17" t="s">
        <v>107</v>
      </c>
      <c r="P69" s="17">
        <v>30</v>
      </c>
      <c r="Q69" s="17">
        <v>30</v>
      </c>
      <c r="R69" s="17">
        <v>30</v>
      </c>
      <c r="S69" s="24">
        <f t="shared" si="22"/>
        <v>100</v>
      </c>
      <c r="T69" s="17" t="s">
        <v>157</v>
      </c>
      <c r="U69" s="20">
        <f t="shared" si="23"/>
        <v>38</v>
      </c>
    </row>
    <row r="70" spans="1:21" ht="59.25" customHeight="1" x14ac:dyDescent="0.25">
      <c r="A70" s="232" t="s">
        <v>158</v>
      </c>
      <c r="B70" s="234">
        <v>45000</v>
      </c>
      <c r="C70" s="239">
        <f>E70+G70+I70+K70+L70</f>
        <v>45000</v>
      </c>
      <c r="D70" s="239">
        <f>F70+H70+J70+K70+M70</f>
        <v>45000</v>
      </c>
      <c r="E70" s="234">
        <v>35235</v>
      </c>
      <c r="F70" s="234">
        <v>35235</v>
      </c>
      <c r="G70" s="234">
        <v>9765</v>
      </c>
      <c r="H70" s="234">
        <v>9765</v>
      </c>
      <c r="I70" s="234">
        <v>0</v>
      </c>
      <c r="J70" s="234">
        <v>0</v>
      </c>
      <c r="K70" s="234">
        <v>0</v>
      </c>
      <c r="L70" s="234">
        <v>0</v>
      </c>
      <c r="M70" s="234">
        <v>0</v>
      </c>
      <c r="N70" s="17" t="s">
        <v>159</v>
      </c>
      <c r="O70" s="17" t="s">
        <v>68</v>
      </c>
      <c r="P70" s="17">
        <v>87</v>
      </c>
      <c r="Q70" s="17">
        <v>83</v>
      </c>
      <c r="R70" s="7">
        <v>171</v>
      </c>
      <c r="S70" s="22">
        <f t="shared" si="22"/>
        <v>206.02409638554215</v>
      </c>
      <c r="T70" s="17"/>
      <c r="U70" s="20">
        <f t="shared" si="23"/>
        <v>39</v>
      </c>
    </row>
    <row r="71" spans="1:21" ht="63" customHeight="1" x14ac:dyDescent="0.25">
      <c r="A71" s="232"/>
      <c r="B71" s="234"/>
      <c r="C71" s="239"/>
      <c r="D71" s="239"/>
      <c r="E71" s="234"/>
      <c r="F71" s="234"/>
      <c r="G71" s="234"/>
      <c r="H71" s="234"/>
      <c r="I71" s="234"/>
      <c r="J71" s="234"/>
      <c r="K71" s="234"/>
      <c r="L71" s="234"/>
      <c r="M71" s="234"/>
      <c r="N71" s="17" t="s">
        <v>160</v>
      </c>
      <c r="O71" s="17" t="s">
        <v>161</v>
      </c>
      <c r="P71" s="17">
        <v>160.1</v>
      </c>
      <c r="Q71" s="17">
        <v>214.2</v>
      </c>
      <c r="R71" s="7">
        <v>384.05</v>
      </c>
      <c r="S71" s="22">
        <f t="shared" si="22"/>
        <v>179.2950513538749</v>
      </c>
      <c r="T71" s="17"/>
      <c r="U71" s="20">
        <f t="shared" si="23"/>
        <v>40</v>
      </c>
    </row>
    <row r="72" spans="1:21" ht="50.25" customHeight="1" x14ac:dyDescent="0.25">
      <c r="A72" s="232"/>
      <c r="B72" s="234"/>
      <c r="C72" s="239"/>
      <c r="D72" s="239"/>
      <c r="E72" s="234"/>
      <c r="F72" s="234"/>
      <c r="G72" s="234"/>
      <c r="H72" s="234"/>
      <c r="I72" s="234"/>
      <c r="J72" s="234"/>
      <c r="K72" s="234"/>
      <c r="L72" s="234"/>
      <c r="M72" s="234"/>
      <c r="N72" s="17" t="s">
        <v>162</v>
      </c>
      <c r="O72" s="17" t="s">
        <v>107</v>
      </c>
      <c r="P72" s="17">
        <v>120</v>
      </c>
      <c r="Q72" s="17">
        <v>140</v>
      </c>
      <c r="R72" s="7">
        <v>153</v>
      </c>
      <c r="S72" s="22">
        <f t="shared" si="22"/>
        <v>109.28571428571428</v>
      </c>
      <c r="T72" s="17"/>
      <c r="U72" s="20">
        <f t="shared" si="23"/>
        <v>41</v>
      </c>
    </row>
    <row r="73" spans="1:21" ht="51.75" customHeight="1" x14ac:dyDescent="0.25">
      <c r="A73" s="232" t="s">
        <v>163</v>
      </c>
      <c r="B73" s="234">
        <v>81292</v>
      </c>
      <c r="C73" s="239">
        <f>E73+G73+I73+K73+L73</f>
        <v>81292</v>
      </c>
      <c r="D73" s="239">
        <f>F73+H73+J73+K73+M73</f>
        <v>81292</v>
      </c>
      <c r="E73" s="234">
        <v>63651</v>
      </c>
      <c r="F73" s="234">
        <v>63651</v>
      </c>
      <c r="G73" s="234">
        <v>17641</v>
      </c>
      <c r="H73" s="234">
        <v>17641</v>
      </c>
      <c r="I73" s="234">
        <v>0</v>
      </c>
      <c r="J73" s="234">
        <v>0</v>
      </c>
      <c r="K73" s="234">
        <v>0</v>
      </c>
      <c r="L73" s="234">
        <v>0</v>
      </c>
      <c r="M73" s="234">
        <v>0</v>
      </c>
      <c r="N73" s="17" t="s">
        <v>164</v>
      </c>
      <c r="O73" s="17" t="s">
        <v>107</v>
      </c>
      <c r="P73" s="17">
        <v>5</v>
      </c>
      <c r="Q73" s="17">
        <v>13</v>
      </c>
      <c r="R73" s="17">
        <v>13</v>
      </c>
      <c r="S73" s="24">
        <f t="shared" si="22"/>
        <v>100</v>
      </c>
      <c r="T73" s="17"/>
      <c r="U73" s="20">
        <f t="shared" si="23"/>
        <v>42</v>
      </c>
    </row>
    <row r="74" spans="1:21" ht="57.75" customHeight="1" x14ac:dyDescent="0.25">
      <c r="A74" s="232"/>
      <c r="B74" s="234"/>
      <c r="C74" s="239"/>
      <c r="D74" s="239"/>
      <c r="E74" s="234"/>
      <c r="F74" s="234"/>
      <c r="G74" s="234"/>
      <c r="H74" s="234"/>
      <c r="I74" s="234"/>
      <c r="J74" s="234"/>
      <c r="K74" s="234"/>
      <c r="L74" s="234"/>
      <c r="M74" s="234"/>
      <c r="N74" s="17" t="s">
        <v>165</v>
      </c>
      <c r="O74" s="17" t="s">
        <v>68</v>
      </c>
      <c r="P74" s="17">
        <v>43</v>
      </c>
      <c r="Q74" s="17">
        <v>56</v>
      </c>
      <c r="R74" s="7">
        <v>93</v>
      </c>
      <c r="S74" s="22">
        <f t="shared" si="22"/>
        <v>166.07142857142858</v>
      </c>
      <c r="T74" s="17"/>
      <c r="U74" s="20">
        <f t="shared" si="23"/>
        <v>43</v>
      </c>
    </row>
    <row r="75" spans="1:21" ht="54" customHeight="1" x14ac:dyDescent="0.25">
      <c r="A75" s="232"/>
      <c r="B75" s="234"/>
      <c r="C75" s="239"/>
      <c r="D75" s="239"/>
      <c r="E75" s="234"/>
      <c r="F75" s="234"/>
      <c r="G75" s="234"/>
      <c r="H75" s="234"/>
      <c r="I75" s="234"/>
      <c r="J75" s="234"/>
      <c r="K75" s="234"/>
      <c r="L75" s="234"/>
      <c r="M75" s="234"/>
      <c r="N75" s="17" t="s">
        <v>166</v>
      </c>
      <c r="O75" s="17" t="s">
        <v>107</v>
      </c>
      <c r="P75" s="17">
        <v>30</v>
      </c>
      <c r="Q75" s="17">
        <v>40</v>
      </c>
      <c r="R75" s="17">
        <v>50</v>
      </c>
      <c r="S75" s="24">
        <f t="shared" si="22"/>
        <v>125</v>
      </c>
      <c r="T75" s="17"/>
      <c r="U75" s="20">
        <f t="shared" si="23"/>
        <v>44</v>
      </c>
    </row>
    <row r="76" spans="1:21" ht="120" customHeight="1" x14ac:dyDescent="0.25">
      <c r="A76" s="15" t="s">
        <v>167</v>
      </c>
      <c r="B76" s="17">
        <v>693.96</v>
      </c>
      <c r="C76" s="16">
        <f>E76+G76+I76+K76+L76</f>
        <v>456.798</v>
      </c>
      <c r="D76" s="16">
        <f>F76+H76+J76+K76+M76</f>
        <v>456.798</v>
      </c>
      <c r="E76" s="17">
        <v>357.673</v>
      </c>
      <c r="F76" s="17">
        <v>357.673</v>
      </c>
      <c r="G76" s="17">
        <v>99.125</v>
      </c>
      <c r="H76" s="17">
        <v>99.125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 t="s">
        <v>168</v>
      </c>
      <c r="O76" s="17" t="s">
        <v>99</v>
      </c>
      <c r="P76" s="24">
        <v>1802.5</v>
      </c>
      <c r="Q76" s="17">
        <v>1000</v>
      </c>
      <c r="R76" s="17">
        <v>1005</v>
      </c>
      <c r="S76" s="24">
        <f t="shared" si="22"/>
        <v>100.49999999999999</v>
      </c>
      <c r="T76" s="17"/>
      <c r="U76" s="20">
        <f t="shared" si="23"/>
        <v>45</v>
      </c>
    </row>
    <row r="77" spans="1:21" ht="51.75" customHeight="1" x14ac:dyDescent="0.25">
      <c r="A77" s="42" t="s">
        <v>169</v>
      </c>
      <c r="B77" s="37">
        <f t="shared" ref="B77:M77" si="25">B78</f>
        <v>9454</v>
      </c>
      <c r="C77" s="37">
        <f t="shared" si="25"/>
        <v>3676.9459999999999</v>
      </c>
      <c r="D77" s="37">
        <f t="shared" si="25"/>
        <v>3676.9459999999999</v>
      </c>
      <c r="E77" s="37">
        <f t="shared" si="25"/>
        <v>0</v>
      </c>
      <c r="F77" s="37">
        <f t="shared" si="25"/>
        <v>0</v>
      </c>
      <c r="G77" s="37">
        <f t="shared" si="25"/>
        <v>3676.9459999999999</v>
      </c>
      <c r="H77" s="37">
        <f t="shared" si="25"/>
        <v>3676.9459999999999</v>
      </c>
      <c r="I77" s="37">
        <f t="shared" si="25"/>
        <v>0</v>
      </c>
      <c r="J77" s="37">
        <f t="shared" si="25"/>
        <v>0</v>
      </c>
      <c r="K77" s="37">
        <f t="shared" si="25"/>
        <v>0</v>
      </c>
      <c r="L77" s="37">
        <f t="shared" si="25"/>
        <v>0</v>
      </c>
      <c r="M77" s="37">
        <f t="shared" si="25"/>
        <v>0</v>
      </c>
      <c r="N77" s="33" t="s">
        <v>170</v>
      </c>
      <c r="O77" s="33" t="s">
        <v>99</v>
      </c>
      <c r="P77" s="33">
        <v>2.5</v>
      </c>
      <c r="Q77" s="33">
        <v>3</v>
      </c>
      <c r="R77" s="36">
        <v>3</v>
      </c>
      <c r="S77" s="46">
        <f t="shared" si="22"/>
        <v>100</v>
      </c>
      <c r="T77" s="33"/>
      <c r="U77" s="20">
        <f t="shared" si="23"/>
        <v>46</v>
      </c>
    </row>
    <row r="78" spans="1:21" ht="54" customHeight="1" x14ac:dyDescent="0.25">
      <c r="A78" s="35" t="s">
        <v>171</v>
      </c>
      <c r="B78" s="36">
        <v>9454</v>
      </c>
      <c r="C78" s="16">
        <f>E78+G78+I78+K78+L78</f>
        <v>3676.9459999999999</v>
      </c>
      <c r="D78" s="16">
        <f>F78+H78+J78+K78+M78</f>
        <v>3676.9459999999999</v>
      </c>
      <c r="E78" s="36">
        <v>0</v>
      </c>
      <c r="F78" s="36">
        <v>0</v>
      </c>
      <c r="G78" s="36">
        <v>3676.9459999999999</v>
      </c>
      <c r="H78" s="36">
        <v>3676.9459999999999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 t="s">
        <v>172</v>
      </c>
      <c r="O78" s="36" t="s">
        <v>107</v>
      </c>
      <c r="P78" s="36">
        <v>2</v>
      </c>
      <c r="Q78" s="36">
        <v>3</v>
      </c>
      <c r="R78" s="36">
        <v>3</v>
      </c>
      <c r="S78" s="46">
        <f t="shared" si="22"/>
        <v>100</v>
      </c>
      <c r="T78" s="36"/>
      <c r="U78" s="20">
        <f t="shared" si="23"/>
        <v>47</v>
      </c>
    </row>
    <row r="79" spans="1:21" s="50" customFormat="1" ht="61.5" hidden="1" customHeight="1" x14ac:dyDescent="0.25">
      <c r="A79" s="47" t="s">
        <v>173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 t="s">
        <v>174</v>
      </c>
      <c r="O79" s="48" t="s">
        <v>99</v>
      </c>
      <c r="P79" s="48">
        <v>0</v>
      </c>
      <c r="Q79" s="48">
        <v>0.5</v>
      </c>
      <c r="R79" s="48">
        <f>R77-P77</f>
        <v>0.5</v>
      </c>
      <c r="S79" s="49"/>
      <c r="T79" s="48"/>
      <c r="U79" s="20">
        <f t="shared" si="23"/>
        <v>48</v>
      </c>
    </row>
    <row r="80" spans="1:21" ht="70.5" customHeight="1" x14ac:dyDescent="0.25">
      <c r="A80" s="42" t="s">
        <v>175</v>
      </c>
      <c r="B80" s="37">
        <f t="shared" ref="B80:M80" si="26">B81</f>
        <v>19738.648000000001</v>
      </c>
      <c r="C80" s="37">
        <f t="shared" si="26"/>
        <v>5061.2290000000003</v>
      </c>
      <c r="D80" s="37">
        <f t="shared" si="26"/>
        <v>5061.2290000000003</v>
      </c>
      <c r="E80" s="37">
        <f t="shared" si="26"/>
        <v>0</v>
      </c>
      <c r="F80" s="37">
        <f t="shared" si="26"/>
        <v>0</v>
      </c>
      <c r="G80" s="37">
        <f t="shared" si="26"/>
        <v>5061.2290000000003</v>
      </c>
      <c r="H80" s="37">
        <f t="shared" si="26"/>
        <v>5061.2290000000003</v>
      </c>
      <c r="I80" s="37">
        <f t="shared" si="26"/>
        <v>0</v>
      </c>
      <c r="J80" s="37">
        <f t="shared" si="26"/>
        <v>0</v>
      </c>
      <c r="K80" s="37">
        <f t="shared" si="26"/>
        <v>0</v>
      </c>
      <c r="L80" s="37">
        <f t="shared" si="26"/>
        <v>0</v>
      </c>
      <c r="M80" s="37">
        <f t="shared" si="26"/>
        <v>0</v>
      </c>
      <c r="N80" s="51" t="s">
        <v>176</v>
      </c>
      <c r="O80" s="52" t="s">
        <v>143</v>
      </c>
      <c r="P80" s="52">
        <v>142</v>
      </c>
      <c r="Q80" s="51">
        <v>152</v>
      </c>
      <c r="R80" s="51">
        <v>152</v>
      </c>
      <c r="S80" s="53">
        <f>R80/Q80*100</f>
        <v>100</v>
      </c>
      <c r="T80" s="52"/>
      <c r="U80" s="20">
        <v>48</v>
      </c>
    </row>
    <row r="81" spans="1:21" ht="345.75" customHeight="1" x14ac:dyDescent="0.25">
      <c r="A81" s="15" t="s">
        <v>177</v>
      </c>
      <c r="B81" s="17">
        <v>19738.648000000001</v>
      </c>
      <c r="C81" s="16">
        <f>E81+G81+I81+K81+L81</f>
        <v>5061.2290000000003</v>
      </c>
      <c r="D81" s="16">
        <f>F81+H81+J81+K81+M81</f>
        <v>5061.2290000000003</v>
      </c>
      <c r="E81" s="17">
        <v>0</v>
      </c>
      <c r="F81" s="17">
        <v>0</v>
      </c>
      <c r="G81" s="17">
        <v>5061.2290000000003</v>
      </c>
      <c r="H81" s="17">
        <v>5061.2290000000003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52" t="s">
        <v>178</v>
      </c>
      <c r="O81" s="52" t="s">
        <v>107</v>
      </c>
      <c r="P81" s="52">
        <v>42</v>
      </c>
      <c r="Q81" s="51">
        <v>47</v>
      </c>
      <c r="R81" s="51">
        <v>49</v>
      </c>
      <c r="S81" s="53">
        <f>R81/Q81*100</f>
        <v>104.25531914893618</v>
      </c>
      <c r="T81" s="52"/>
      <c r="U81" s="20">
        <f>U80+1</f>
        <v>49</v>
      </c>
    </row>
    <row r="82" spans="1:21" s="50" customFormat="1" ht="85.5" hidden="1" customHeight="1" x14ac:dyDescent="0.25">
      <c r="A82" s="47" t="s">
        <v>179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4" t="s">
        <v>180</v>
      </c>
      <c r="O82" s="54" t="s">
        <v>143</v>
      </c>
      <c r="P82" s="54">
        <v>0</v>
      </c>
      <c r="Q82" s="54">
        <v>4</v>
      </c>
      <c r="R82" s="54">
        <v>14</v>
      </c>
      <c r="S82" s="54"/>
      <c r="T82" s="54"/>
      <c r="U82" s="20">
        <f>U81+1</f>
        <v>50</v>
      </c>
    </row>
    <row r="83" spans="1:21" ht="59.25" customHeight="1" x14ac:dyDescent="0.25">
      <c r="A83" s="42" t="s">
        <v>181</v>
      </c>
      <c r="B83" s="37">
        <f t="shared" ref="B83:M83" si="27">B84</f>
        <v>26935</v>
      </c>
      <c r="C83" s="37">
        <f t="shared" si="27"/>
        <v>26935</v>
      </c>
      <c r="D83" s="37">
        <f t="shared" si="27"/>
        <v>26935</v>
      </c>
      <c r="E83" s="37">
        <f t="shared" si="27"/>
        <v>6935</v>
      </c>
      <c r="F83" s="37">
        <f t="shared" si="27"/>
        <v>6935</v>
      </c>
      <c r="G83" s="37">
        <f t="shared" si="27"/>
        <v>20000</v>
      </c>
      <c r="H83" s="37">
        <f t="shared" si="27"/>
        <v>20000</v>
      </c>
      <c r="I83" s="37">
        <f t="shared" si="27"/>
        <v>0</v>
      </c>
      <c r="J83" s="37">
        <f t="shared" si="27"/>
        <v>0</v>
      </c>
      <c r="K83" s="37">
        <f t="shared" si="27"/>
        <v>0</v>
      </c>
      <c r="L83" s="37">
        <f t="shared" si="27"/>
        <v>0</v>
      </c>
      <c r="M83" s="37">
        <f t="shared" si="27"/>
        <v>0</v>
      </c>
      <c r="N83" s="52" t="s">
        <v>182</v>
      </c>
      <c r="O83" s="52" t="s">
        <v>107</v>
      </c>
      <c r="P83" s="52">
        <v>0</v>
      </c>
      <c r="Q83" s="51">
        <v>2</v>
      </c>
      <c r="R83" s="51">
        <v>2</v>
      </c>
      <c r="S83" s="53">
        <f>R83/Q83*100</f>
        <v>100</v>
      </c>
      <c r="T83" s="52"/>
      <c r="U83" s="20">
        <v>50</v>
      </c>
    </row>
    <row r="84" spans="1:21" ht="96" customHeight="1" x14ac:dyDescent="0.25">
      <c r="A84" s="232" t="s">
        <v>183</v>
      </c>
      <c r="B84" s="234">
        <v>26935</v>
      </c>
      <c r="C84" s="239">
        <f>E84+G84+I84+K84+L84</f>
        <v>26935</v>
      </c>
      <c r="D84" s="239">
        <f>F84+H84+J84+K84+M84</f>
        <v>26935</v>
      </c>
      <c r="E84" s="234">
        <v>6935</v>
      </c>
      <c r="F84" s="234">
        <v>6935</v>
      </c>
      <c r="G84" s="234">
        <v>20000</v>
      </c>
      <c r="H84" s="234">
        <v>20000</v>
      </c>
      <c r="I84" s="234">
        <v>0</v>
      </c>
      <c r="J84" s="234">
        <v>0</v>
      </c>
      <c r="K84" s="234">
        <v>0</v>
      </c>
      <c r="L84" s="234">
        <v>0</v>
      </c>
      <c r="M84" s="234">
        <v>0</v>
      </c>
      <c r="N84" s="55" t="s">
        <v>184</v>
      </c>
      <c r="O84" s="56" t="s">
        <v>24</v>
      </c>
      <c r="P84" s="55" t="s">
        <v>52</v>
      </c>
      <c r="Q84" s="56">
        <v>30</v>
      </c>
      <c r="R84" s="56">
        <v>20.8</v>
      </c>
      <c r="S84" s="57">
        <f>R84-Q84</f>
        <v>-9.1999999999999993</v>
      </c>
      <c r="T84" s="56" t="s">
        <v>185</v>
      </c>
      <c r="U84" s="20">
        <f>U83+1</f>
        <v>51</v>
      </c>
    </row>
    <row r="85" spans="1:21" ht="75" customHeight="1" x14ac:dyDescent="0.25">
      <c r="A85" s="232"/>
      <c r="B85" s="234"/>
      <c r="C85" s="239"/>
      <c r="D85" s="239"/>
      <c r="E85" s="234"/>
      <c r="F85" s="234"/>
      <c r="G85" s="234"/>
      <c r="H85" s="234"/>
      <c r="I85" s="234"/>
      <c r="J85" s="234"/>
      <c r="K85" s="234"/>
      <c r="L85" s="234"/>
      <c r="M85" s="234"/>
      <c r="N85" s="58" t="s">
        <v>186</v>
      </c>
      <c r="O85" s="59" t="s">
        <v>107</v>
      </c>
      <c r="P85" s="60" t="s">
        <v>52</v>
      </c>
      <c r="Q85" s="56">
        <v>25</v>
      </c>
      <c r="R85" s="60">
        <v>18</v>
      </c>
      <c r="S85" s="61">
        <f>R85/Q85*100</f>
        <v>72</v>
      </c>
      <c r="T85" s="60" t="s">
        <v>187</v>
      </c>
      <c r="U85" s="20">
        <f>U84+1</f>
        <v>52</v>
      </c>
    </row>
    <row r="86" spans="1:21" ht="33.75" customHeight="1" x14ac:dyDescent="0.25">
      <c r="A86" s="231" t="s">
        <v>188</v>
      </c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  <c r="U86" s="20"/>
    </row>
    <row r="87" spans="1:21" ht="72.75" customHeight="1" x14ac:dyDescent="0.25">
      <c r="A87" s="15" t="s">
        <v>189</v>
      </c>
      <c r="B87" s="23">
        <f t="shared" ref="B87:M87" si="28">B88</f>
        <v>100</v>
      </c>
      <c r="C87" s="23">
        <f t="shared" si="28"/>
        <v>0</v>
      </c>
      <c r="D87" s="23">
        <f t="shared" si="28"/>
        <v>0</v>
      </c>
      <c r="E87" s="23">
        <f t="shared" si="28"/>
        <v>0</v>
      </c>
      <c r="F87" s="23">
        <f t="shared" si="28"/>
        <v>0</v>
      </c>
      <c r="G87" s="23">
        <f t="shared" si="28"/>
        <v>0</v>
      </c>
      <c r="H87" s="23">
        <f t="shared" si="28"/>
        <v>0</v>
      </c>
      <c r="I87" s="23">
        <f t="shared" si="28"/>
        <v>0</v>
      </c>
      <c r="J87" s="23">
        <f t="shared" si="28"/>
        <v>0</v>
      </c>
      <c r="K87" s="23">
        <f t="shared" si="28"/>
        <v>0</v>
      </c>
      <c r="L87" s="23">
        <f t="shared" si="28"/>
        <v>0</v>
      </c>
      <c r="M87" s="23">
        <f t="shared" si="28"/>
        <v>0</v>
      </c>
      <c r="N87" s="17" t="s">
        <v>190</v>
      </c>
      <c r="O87" s="17" t="s">
        <v>143</v>
      </c>
      <c r="P87" s="17">
        <v>46.1</v>
      </c>
      <c r="Q87" s="7">
        <v>49.1</v>
      </c>
      <c r="R87" s="7">
        <v>54</v>
      </c>
      <c r="S87" s="22">
        <f>R87/Q87*100</f>
        <v>109.97963340122199</v>
      </c>
      <c r="T87" s="17"/>
      <c r="U87" s="20">
        <v>53</v>
      </c>
    </row>
    <row r="88" spans="1:21" ht="57.75" customHeight="1" x14ac:dyDescent="0.25">
      <c r="A88" s="15" t="s">
        <v>191</v>
      </c>
      <c r="B88" s="16">
        <f t="shared" ref="B88:M88" si="29">B89+B90</f>
        <v>100</v>
      </c>
      <c r="C88" s="16">
        <f t="shared" si="29"/>
        <v>0</v>
      </c>
      <c r="D88" s="16">
        <f t="shared" si="29"/>
        <v>0</v>
      </c>
      <c r="E88" s="16">
        <f t="shared" si="29"/>
        <v>0</v>
      </c>
      <c r="F88" s="16">
        <f t="shared" si="29"/>
        <v>0</v>
      </c>
      <c r="G88" s="16">
        <f t="shared" si="29"/>
        <v>0</v>
      </c>
      <c r="H88" s="16">
        <f t="shared" si="29"/>
        <v>0</v>
      </c>
      <c r="I88" s="16">
        <f t="shared" si="29"/>
        <v>0</v>
      </c>
      <c r="J88" s="16">
        <f t="shared" si="29"/>
        <v>0</v>
      </c>
      <c r="K88" s="16">
        <f t="shared" si="29"/>
        <v>0</v>
      </c>
      <c r="L88" s="16">
        <f t="shared" si="29"/>
        <v>0</v>
      </c>
      <c r="M88" s="16">
        <f t="shared" si="29"/>
        <v>0</v>
      </c>
      <c r="N88" s="17" t="s">
        <v>192</v>
      </c>
      <c r="O88" s="17" t="s">
        <v>193</v>
      </c>
      <c r="P88" s="17">
        <v>110.1</v>
      </c>
      <c r="Q88" s="7">
        <v>111.23</v>
      </c>
      <c r="R88" s="7">
        <v>143.9</v>
      </c>
      <c r="S88" s="22">
        <f>R88/Q88*100</f>
        <v>129.37157241751328</v>
      </c>
      <c r="T88" s="17"/>
      <c r="U88" s="20">
        <f>U87+1</f>
        <v>54</v>
      </c>
    </row>
    <row r="89" spans="1:21" ht="72.75" customHeight="1" x14ac:dyDescent="0.25">
      <c r="A89" s="15" t="s">
        <v>194</v>
      </c>
      <c r="B89" s="17">
        <v>50</v>
      </c>
      <c r="C89" s="16">
        <f>E89+G89+I89+K89+L89</f>
        <v>0</v>
      </c>
      <c r="D89" s="16">
        <f>F89+H89+J89+K89+M89</f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235" t="s">
        <v>195</v>
      </c>
      <c r="O89" s="235" t="s">
        <v>107</v>
      </c>
      <c r="P89" s="234">
        <v>3</v>
      </c>
      <c r="Q89" s="236">
        <v>4</v>
      </c>
      <c r="R89" s="237">
        <v>4</v>
      </c>
      <c r="S89" s="238">
        <f>R89/Q89*100</f>
        <v>100</v>
      </c>
      <c r="T89" s="234"/>
      <c r="U89" s="230">
        <f>U88+1</f>
        <v>55</v>
      </c>
    </row>
    <row r="90" spans="1:21" ht="76.5" customHeight="1" x14ac:dyDescent="0.25">
      <c r="A90" s="15" t="s">
        <v>196</v>
      </c>
      <c r="B90" s="17">
        <v>50</v>
      </c>
      <c r="C90" s="16">
        <f>E90+G90+I90+K90+L90</f>
        <v>0</v>
      </c>
      <c r="D90" s="16">
        <f>F90+H90+J90+K90+M90</f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235"/>
      <c r="O90" s="235" t="s">
        <v>107</v>
      </c>
      <c r="P90" s="234"/>
      <c r="Q90" s="236">
        <v>4</v>
      </c>
      <c r="R90" s="237"/>
      <c r="S90" s="238"/>
      <c r="T90" s="234"/>
      <c r="U90" s="230"/>
    </row>
    <row r="91" spans="1:21" ht="33" customHeight="1" x14ac:dyDescent="0.25">
      <c r="A91" s="231" t="s">
        <v>197</v>
      </c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0"/>
    </row>
    <row r="92" spans="1:21" ht="45.75" customHeight="1" x14ac:dyDescent="0.25">
      <c r="A92" s="232" t="s">
        <v>198</v>
      </c>
      <c r="B92" s="233">
        <f t="shared" ref="B92:M92" si="30">B95</f>
        <v>106285.9133</v>
      </c>
      <c r="C92" s="233">
        <f t="shared" si="30"/>
        <v>100028.54239999999</v>
      </c>
      <c r="D92" s="233">
        <f t="shared" si="30"/>
        <v>99903.879899999985</v>
      </c>
      <c r="E92" s="233">
        <f t="shared" si="30"/>
        <v>0</v>
      </c>
      <c r="F92" s="233">
        <f t="shared" si="30"/>
        <v>0</v>
      </c>
      <c r="G92" s="233">
        <f t="shared" si="30"/>
        <v>100028.54239999999</v>
      </c>
      <c r="H92" s="233">
        <f t="shared" si="30"/>
        <v>99903.879899999985</v>
      </c>
      <c r="I92" s="233">
        <f t="shared" si="30"/>
        <v>0</v>
      </c>
      <c r="J92" s="233">
        <f t="shared" si="30"/>
        <v>0</v>
      </c>
      <c r="K92" s="233">
        <f t="shared" si="30"/>
        <v>0</v>
      </c>
      <c r="L92" s="233">
        <f t="shared" si="30"/>
        <v>0</v>
      </c>
      <c r="M92" s="233">
        <f t="shared" si="30"/>
        <v>0</v>
      </c>
      <c r="N92" s="55" t="s">
        <v>199</v>
      </c>
      <c r="O92" s="55" t="s">
        <v>200</v>
      </c>
      <c r="P92" s="57">
        <v>17.600000000000001</v>
      </c>
      <c r="Q92" s="62">
        <v>17.899999999999999</v>
      </c>
      <c r="R92" s="57">
        <v>23</v>
      </c>
      <c r="S92" s="57">
        <f>R92/Q92*100</f>
        <v>128.49162011173186</v>
      </c>
      <c r="T92" s="7"/>
      <c r="U92" s="20">
        <v>56</v>
      </c>
    </row>
    <row r="93" spans="1:21" ht="53.25" customHeight="1" x14ac:dyDescent="0.25">
      <c r="A93" s="232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55" t="s">
        <v>201</v>
      </c>
      <c r="O93" s="55" t="s">
        <v>200</v>
      </c>
      <c r="P93" s="62">
        <v>13.4</v>
      </c>
      <c r="Q93" s="62">
        <v>13.5</v>
      </c>
      <c r="R93" s="57">
        <v>14.6</v>
      </c>
      <c r="S93" s="57">
        <f>R93/Q93*100</f>
        <v>108.14814814814815</v>
      </c>
      <c r="T93" s="7"/>
      <c r="U93" s="20">
        <f t="shared" ref="U93:U108" si="31">U92+1</f>
        <v>57</v>
      </c>
    </row>
    <row r="94" spans="1:21" ht="66.75" customHeight="1" x14ac:dyDescent="0.25">
      <c r="A94" s="232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55" t="s">
        <v>202</v>
      </c>
      <c r="O94" s="55" t="s">
        <v>200</v>
      </c>
      <c r="P94" s="63">
        <v>2.25</v>
      </c>
      <c r="Q94" s="63">
        <v>2.2799999999999998</v>
      </c>
      <c r="R94" s="64">
        <v>2.2799999999999998</v>
      </c>
      <c r="S94" s="65">
        <f>R94/Q94*100</f>
        <v>100</v>
      </c>
      <c r="T94" s="18" t="s">
        <v>25</v>
      </c>
      <c r="U94" s="20">
        <f t="shared" si="31"/>
        <v>58</v>
      </c>
    </row>
    <row r="95" spans="1:21" ht="63" customHeight="1" x14ac:dyDescent="0.25">
      <c r="A95" s="15" t="s">
        <v>203</v>
      </c>
      <c r="B95" s="16">
        <f t="shared" ref="B95:M95" si="32">B96+B97+B98+B99+B103+B104+B105+B106+B108</f>
        <v>106285.9133</v>
      </c>
      <c r="C95" s="16">
        <f t="shared" si="32"/>
        <v>100028.54239999999</v>
      </c>
      <c r="D95" s="16">
        <f t="shared" si="32"/>
        <v>99903.879899999985</v>
      </c>
      <c r="E95" s="16">
        <f t="shared" si="32"/>
        <v>0</v>
      </c>
      <c r="F95" s="16">
        <f t="shared" si="32"/>
        <v>0</v>
      </c>
      <c r="G95" s="16">
        <f t="shared" si="32"/>
        <v>100028.54239999999</v>
      </c>
      <c r="H95" s="16">
        <f t="shared" si="32"/>
        <v>99903.879899999985</v>
      </c>
      <c r="I95" s="16">
        <f t="shared" si="32"/>
        <v>0</v>
      </c>
      <c r="J95" s="16">
        <f t="shared" si="32"/>
        <v>0</v>
      </c>
      <c r="K95" s="16">
        <f t="shared" si="32"/>
        <v>0</v>
      </c>
      <c r="L95" s="16">
        <f t="shared" si="32"/>
        <v>0</v>
      </c>
      <c r="M95" s="16">
        <f t="shared" si="32"/>
        <v>0</v>
      </c>
      <c r="N95" s="55" t="s">
        <v>204</v>
      </c>
      <c r="O95" s="56" t="s">
        <v>24</v>
      </c>
      <c r="P95" s="55">
        <v>106</v>
      </c>
      <c r="Q95" s="55">
        <v>106</v>
      </c>
      <c r="R95" s="66">
        <v>106</v>
      </c>
      <c r="S95" s="67">
        <f>R95-Q95</f>
        <v>0</v>
      </c>
      <c r="T95" s="18" t="s">
        <v>25</v>
      </c>
      <c r="U95" s="20">
        <f t="shared" si="31"/>
        <v>59</v>
      </c>
    </row>
    <row r="96" spans="1:21" ht="123.75" customHeight="1" x14ac:dyDescent="0.25">
      <c r="A96" s="15" t="s">
        <v>205</v>
      </c>
      <c r="B96" s="17">
        <v>2311.5949999999998</v>
      </c>
      <c r="C96" s="16">
        <f>E96+G96+I96+K96+L96</f>
        <v>1810.825</v>
      </c>
      <c r="D96" s="16">
        <f>F96+H96+J96+K96+M96</f>
        <v>1810.8226999999999</v>
      </c>
      <c r="E96" s="17">
        <v>0</v>
      </c>
      <c r="F96" s="17">
        <v>0</v>
      </c>
      <c r="G96" s="17">
        <v>1810.825</v>
      </c>
      <c r="H96" s="17">
        <v>1810.8226999999999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55" t="s">
        <v>206</v>
      </c>
      <c r="O96" s="55" t="s">
        <v>97</v>
      </c>
      <c r="P96" s="55">
        <v>73.5</v>
      </c>
      <c r="Q96" s="55">
        <v>76.400000000000006</v>
      </c>
      <c r="R96" s="55">
        <v>76.599999999999994</v>
      </c>
      <c r="S96" s="62">
        <f>R96/Q96*100</f>
        <v>100.26178010471203</v>
      </c>
      <c r="T96" s="55"/>
      <c r="U96" s="20">
        <f t="shared" si="31"/>
        <v>60</v>
      </c>
    </row>
    <row r="97" spans="1:21" ht="94.5" customHeight="1" x14ac:dyDescent="0.25">
      <c r="A97" s="15" t="s">
        <v>207</v>
      </c>
      <c r="B97" s="17">
        <v>36700.749799999998</v>
      </c>
      <c r="C97" s="16">
        <f>E97+G97+I97+K97+L97</f>
        <v>34451.569000000003</v>
      </c>
      <c r="D97" s="16">
        <f>F97+H97+J97+K97+M97</f>
        <v>34434.802000000003</v>
      </c>
      <c r="E97" s="17">
        <v>0</v>
      </c>
      <c r="F97" s="17">
        <v>0</v>
      </c>
      <c r="G97" s="17">
        <v>34451.569000000003</v>
      </c>
      <c r="H97" s="17">
        <v>34434.802000000003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55" t="s">
        <v>208</v>
      </c>
      <c r="O97" s="56" t="s">
        <v>24</v>
      </c>
      <c r="P97" s="55">
        <v>5</v>
      </c>
      <c r="Q97" s="55">
        <v>5.2</v>
      </c>
      <c r="R97" s="55">
        <v>5.2</v>
      </c>
      <c r="S97" s="62">
        <f>R97-Q97</f>
        <v>0</v>
      </c>
      <c r="T97" s="55"/>
      <c r="U97" s="20">
        <f t="shared" si="31"/>
        <v>61</v>
      </c>
    </row>
    <row r="98" spans="1:21" ht="82.5" customHeight="1" x14ac:dyDescent="0.25">
      <c r="A98" s="68" t="s">
        <v>209</v>
      </c>
      <c r="B98" s="55">
        <v>1137.3274699999999</v>
      </c>
      <c r="C98" s="16">
        <f>E98+G98+I98+K98+L98</f>
        <v>1137.2919999999999</v>
      </c>
      <c r="D98" s="16">
        <f>F98+H98+J98+K98+M98</f>
        <v>1129.4297999999999</v>
      </c>
      <c r="E98" s="55">
        <v>0</v>
      </c>
      <c r="F98" s="55">
        <v>0</v>
      </c>
      <c r="G98" s="55">
        <v>1137.2919999999999</v>
      </c>
      <c r="H98" s="55">
        <v>1129.4297999999999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 t="s">
        <v>210</v>
      </c>
      <c r="O98" s="55" t="s">
        <v>211</v>
      </c>
      <c r="P98" s="55">
        <v>50</v>
      </c>
      <c r="Q98" s="55">
        <v>48</v>
      </c>
      <c r="R98" s="56">
        <v>74</v>
      </c>
      <c r="S98" s="57">
        <f>R98/Q98*100</f>
        <v>154.16666666666669</v>
      </c>
      <c r="T98" s="56"/>
      <c r="U98" s="20">
        <f t="shared" si="31"/>
        <v>62</v>
      </c>
    </row>
    <row r="99" spans="1:21" ht="74.25" customHeight="1" x14ac:dyDescent="0.25">
      <c r="A99" s="228" t="s">
        <v>212</v>
      </c>
      <c r="B99" s="227">
        <v>42431.644</v>
      </c>
      <c r="C99" s="229">
        <f>E99+G99+I99+K99+L99</f>
        <v>40341.07</v>
      </c>
      <c r="D99" s="229">
        <f>F99+H99+J99+K99+M99</f>
        <v>40241.038999999997</v>
      </c>
      <c r="E99" s="227">
        <v>0</v>
      </c>
      <c r="F99" s="227">
        <v>0</v>
      </c>
      <c r="G99" s="227">
        <v>40341.07</v>
      </c>
      <c r="H99" s="227">
        <v>40241.038999999997</v>
      </c>
      <c r="I99" s="227">
        <v>0</v>
      </c>
      <c r="J99" s="227">
        <v>0</v>
      </c>
      <c r="K99" s="227">
        <v>0</v>
      </c>
      <c r="L99" s="227">
        <v>0</v>
      </c>
      <c r="M99" s="227">
        <v>0</v>
      </c>
      <c r="N99" s="55" t="s">
        <v>213</v>
      </c>
      <c r="O99" s="55" t="s">
        <v>161</v>
      </c>
      <c r="P99" s="62">
        <v>277.8</v>
      </c>
      <c r="Q99" s="62">
        <v>238.8</v>
      </c>
      <c r="R99" s="57">
        <v>182.2</v>
      </c>
      <c r="S99" s="57">
        <f>R99/Q99*100</f>
        <v>76.298157453936341</v>
      </c>
      <c r="T99" s="57" t="s">
        <v>214</v>
      </c>
      <c r="U99" s="20">
        <f t="shared" si="31"/>
        <v>63</v>
      </c>
    </row>
    <row r="100" spans="1:21" ht="69" customHeight="1" x14ac:dyDescent="0.25">
      <c r="A100" s="228"/>
      <c r="B100" s="227"/>
      <c r="C100" s="229"/>
      <c r="D100" s="229"/>
      <c r="E100" s="227"/>
      <c r="F100" s="227"/>
      <c r="G100" s="227"/>
      <c r="H100" s="227"/>
      <c r="I100" s="227"/>
      <c r="J100" s="227"/>
      <c r="K100" s="227"/>
      <c r="L100" s="227"/>
      <c r="M100" s="227"/>
      <c r="N100" s="55" t="s">
        <v>215</v>
      </c>
      <c r="O100" s="56" t="s">
        <v>24</v>
      </c>
      <c r="P100" s="55">
        <v>68</v>
      </c>
      <c r="Q100" s="55">
        <v>72</v>
      </c>
      <c r="R100" s="56">
        <v>67</v>
      </c>
      <c r="S100" s="57">
        <f>R100-Q100</f>
        <v>-5</v>
      </c>
      <c r="T100" s="55" t="s">
        <v>216</v>
      </c>
      <c r="U100" s="20">
        <f t="shared" si="31"/>
        <v>64</v>
      </c>
    </row>
    <row r="101" spans="1:21" ht="78" customHeight="1" x14ac:dyDescent="0.25">
      <c r="A101" s="228"/>
      <c r="B101" s="227"/>
      <c r="C101" s="229"/>
      <c r="D101" s="229"/>
      <c r="E101" s="227"/>
      <c r="F101" s="227"/>
      <c r="G101" s="227"/>
      <c r="H101" s="227"/>
      <c r="I101" s="227"/>
      <c r="J101" s="227"/>
      <c r="K101" s="227"/>
      <c r="L101" s="227"/>
      <c r="M101" s="227"/>
      <c r="N101" s="55" t="s">
        <v>217</v>
      </c>
      <c r="O101" s="56" t="s">
        <v>24</v>
      </c>
      <c r="P101" s="55">
        <v>75</v>
      </c>
      <c r="Q101" s="55">
        <v>75</v>
      </c>
      <c r="R101" s="56">
        <v>75</v>
      </c>
      <c r="S101" s="57">
        <f>R101-Q101</f>
        <v>0</v>
      </c>
      <c r="T101" s="55" t="s">
        <v>157</v>
      </c>
      <c r="U101" s="20">
        <f t="shared" si="31"/>
        <v>65</v>
      </c>
    </row>
    <row r="102" spans="1:21" ht="83.25" customHeight="1" x14ac:dyDescent="0.25">
      <c r="A102" s="228"/>
      <c r="B102" s="227"/>
      <c r="C102" s="229"/>
      <c r="D102" s="229"/>
      <c r="E102" s="227"/>
      <c r="F102" s="227"/>
      <c r="G102" s="227"/>
      <c r="H102" s="227"/>
      <c r="I102" s="227"/>
      <c r="J102" s="227"/>
      <c r="K102" s="227"/>
      <c r="L102" s="227"/>
      <c r="M102" s="227"/>
      <c r="N102" s="55" t="s">
        <v>218</v>
      </c>
      <c r="O102" s="56" t="s">
        <v>24</v>
      </c>
      <c r="P102" s="55">
        <v>100</v>
      </c>
      <c r="Q102" s="55">
        <v>100</v>
      </c>
      <c r="R102" s="56">
        <v>100</v>
      </c>
      <c r="S102" s="57">
        <f>R102-Q102</f>
        <v>0</v>
      </c>
      <c r="T102" s="55"/>
      <c r="U102" s="20">
        <f t="shared" si="31"/>
        <v>66</v>
      </c>
    </row>
    <row r="103" spans="1:21" ht="123" customHeight="1" x14ac:dyDescent="0.25">
      <c r="A103" s="68" t="s">
        <v>219</v>
      </c>
      <c r="B103" s="55">
        <v>7506.6</v>
      </c>
      <c r="C103" s="69">
        <f>E103+G103+I103+K103+L103</f>
        <v>7318.3163999999997</v>
      </c>
      <c r="D103" s="69">
        <f>F103+H103+J103+K103+M103</f>
        <v>7318.3163999999997</v>
      </c>
      <c r="E103" s="55">
        <v>0</v>
      </c>
      <c r="F103" s="55">
        <v>0</v>
      </c>
      <c r="G103" s="55">
        <v>7318.3163999999997</v>
      </c>
      <c r="H103" s="55">
        <v>7318.3163999999997</v>
      </c>
      <c r="I103" s="55">
        <v>0</v>
      </c>
      <c r="J103" s="55">
        <v>0</v>
      </c>
      <c r="K103" s="55">
        <v>0</v>
      </c>
      <c r="L103" s="55">
        <v>0</v>
      </c>
      <c r="M103" s="55">
        <v>0</v>
      </c>
      <c r="N103" s="55" t="s">
        <v>220</v>
      </c>
      <c r="O103" s="55" t="s">
        <v>145</v>
      </c>
      <c r="P103" s="55">
        <v>23.8</v>
      </c>
      <c r="Q103" s="55">
        <v>23.8</v>
      </c>
      <c r="R103" s="55">
        <v>23.85</v>
      </c>
      <c r="S103" s="62">
        <f>R103/Q103*100</f>
        <v>100.21008403361344</v>
      </c>
      <c r="T103" s="55"/>
      <c r="U103" s="20">
        <f t="shared" si="31"/>
        <v>67</v>
      </c>
    </row>
    <row r="104" spans="1:21" ht="86.25" customHeight="1" x14ac:dyDescent="0.25">
      <c r="A104" s="68" t="s">
        <v>221</v>
      </c>
      <c r="B104" s="55">
        <v>1000</v>
      </c>
      <c r="C104" s="69">
        <f>E104+G104+I104+K104+L104</f>
        <v>1000</v>
      </c>
      <c r="D104" s="69">
        <f>F104+H104+J104+K104+M104</f>
        <v>1000</v>
      </c>
      <c r="E104" s="55">
        <v>0</v>
      </c>
      <c r="F104" s="55">
        <v>0</v>
      </c>
      <c r="G104" s="55">
        <v>1000</v>
      </c>
      <c r="H104" s="55">
        <v>1000</v>
      </c>
      <c r="I104" s="55">
        <v>0</v>
      </c>
      <c r="J104" s="55">
        <v>0</v>
      </c>
      <c r="K104" s="55">
        <v>0</v>
      </c>
      <c r="L104" s="55">
        <v>0</v>
      </c>
      <c r="M104" s="55">
        <v>0</v>
      </c>
      <c r="N104" s="55" t="s">
        <v>222</v>
      </c>
      <c r="O104" s="55" t="s">
        <v>107</v>
      </c>
      <c r="P104" s="55">
        <v>24</v>
      </c>
      <c r="Q104" s="55">
        <v>19</v>
      </c>
      <c r="R104" s="56">
        <v>19</v>
      </c>
      <c r="S104" s="57">
        <f>R104/Q104*100</f>
        <v>100</v>
      </c>
      <c r="T104" s="55"/>
      <c r="U104" s="20">
        <f t="shared" si="31"/>
        <v>68</v>
      </c>
    </row>
    <row r="105" spans="1:21" ht="72" customHeight="1" x14ac:dyDescent="0.25">
      <c r="A105" s="68" t="s">
        <v>223</v>
      </c>
      <c r="B105" s="55"/>
      <c r="C105" s="69">
        <f>E105+G105+I105+K105+L105</f>
        <v>0</v>
      </c>
      <c r="D105" s="69">
        <f>F105+H105+J105+K105+M105</f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 t="s">
        <v>224</v>
      </c>
      <c r="O105" s="56" t="s">
        <v>24</v>
      </c>
      <c r="P105" s="55">
        <v>100</v>
      </c>
      <c r="Q105" s="55">
        <v>100</v>
      </c>
      <c r="R105" s="55">
        <v>100</v>
      </c>
      <c r="S105" s="62">
        <f>R105-Q105</f>
        <v>0</v>
      </c>
      <c r="T105" s="55"/>
      <c r="U105" s="20">
        <f t="shared" si="31"/>
        <v>69</v>
      </c>
    </row>
    <row r="106" spans="1:21" ht="54" customHeight="1" x14ac:dyDescent="0.25">
      <c r="A106" s="228" t="s">
        <v>225</v>
      </c>
      <c r="B106" s="227">
        <v>15197.99703</v>
      </c>
      <c r="C106" s="229">
        <f>E106+G106+I106+K106+L106</f>
        <v>13969.47</v>
      </c>
      <c r="D106" s="229">
        <f>F106+H106+J106+K106+M106</f>
        <v>13969.47</v>
      </c>
      <c r="E106" s="227">
        <v>0</v>
      </c>
      <c r="F106" s="227">
        <v>0</v>
      </c>
      <c r="G106" s="227">
        <v>13969.47</v>
      </c>
      <c r="H106" s="227">
        <v>13969.47</v>
      </c>
      <c r="I106" s="227">
        <v>0</v>
      </c>
      <c r="J106" s="227">
        <v>0</v>
      </c>
      <c r="K106" s="227">
        <v>0</v>
      </c>
      <c r="L106" s="227">
        <v>0</v>
      </c>
      <c r="M106" s="227">
        <v>0</v>
      </c>
      <c r="N106" s="55" t="s">
        <v>226</v>
      </c>
      <c r="O106" s="55" t="s">
        <v>107</v>
      </c>
      <c r="P106" s="70">
        <v>10</v>
      </c>
      <c r="Q106" s="70">
        <v>8</v>
      </c>
      <c r="R106" s="70">
        <v>10</v>
      </c>
      <c r="S106" s="71">
        <f>R106/Q106*100</f>
        <v>125</v>
      </c>
      <c r="T106" s="70"/>
      <c r="U106" s="20">
        <f t="shared" si="31"/>
        <v>70</v>
      </c>
    </row>
    <row r="107" spans="1:21" ht="72.75" customHeight="1" x14ac:dyDescent="0.25">
      <c r="A107" s="228"/>
      <c r="B107" s="227"/>
      <c r="C107" s="229"/>
      <c r="D107" s="229"/>
      <c r="E107" s="227"/>
      <c r="F107" s="227"/>
      <c r="G107" s="227"/>
      <c r="H107" s="227"/>
      <c r="I107" s="227"/>
      <c r="J107" s="227"/>
      <c r="K107" s="227"/>
      <c r="L107" s="227"/>
      <c r="M107" s="227"/>
      <c r="N107" s="55" t="s">
        <v>227</v>
      </c>
      <c r="O107" s="55" t="s">
        <v>228</v>
      </c>
      <c r="P107" s="55">
        <v>11</v>
      </c>
      <c r="Q107" s="55">
        <v>12</v>
      </c>
      <c r="R107" s="55">
        <v>14</v>
      </c>
      <c r="S107" s="62">
        <f>R107/Q107*100</f>
        <v>116.66666666666667</v>
      </c>
      <c r="T107" s="55"/>
      <c r="U107" s="20">
        <f t="shared" si="31"/>
        <v>71</v>
      </c>
    </row>
    <row r="108" spans="1:21" ht="72.75" customHeight="1" x14ac:dyDescent="0.25">
      <c r="A108" s="68" t="s">
        <v>229</v>
      </c>
      <c r="B108" s="55">
        <v>0</v>
      </c>
      <c r="C108" s="69">
        <f>E108+G108+I108+K108+L108</f>
        <v>0</v>
      </c>
      <c r="D108" s="69">
        <f>F108+H108+J108+K108+M108</f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 t="s">
        <v>230</v>
      </c>
      <c r="O108" s="56" t="s">
        <v>24</v>
      </c>
      <c r="P108" s="55">
        <v>102.6</v>
      </c>
      <c r="Q108" s="55">
        <v>104.3</v>
      </c>
      <c r="R108" s="56"/>
      <c r="S108" s="57"/>
      <c r="T108" s="7" t="s">
        <v>231</v>
      </c>
      <c r="U108" s="20">
        <f t="shared" si="31"/>
        <v>72</v>
      </c>
    </row>
  </sheetData>
  <mergeCells count="210">
    <mergeCell ref="A1:T1"/>
    <mergeCell ref="A2:T2"/>
    <mergeCell ref="A3:A5"/>
    <mergeCell ref="B3:B5"/>
    <mergeCell ref="C3:D4"/>
    <mergeCell ref="E3:M3"/>
    <mergeCell ref="N3:T3"/>
    <mergeCell ref="E4:F4"/>
    <mergeCell ref="G4:H4"/>
    <mergeCell ref="I4:J4"/>
    <mergeCell ref="K4:K5"/>
    <mergeCell ref="L4:M4"/>
    <mergeCell ref="A7:T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11: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T14:T16"/>
    <mergeCell ref="T25:T26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C44:C45"/>
    <mergeCell ref="D44:D45"/>
    <mergeCell ref="E44:E45"/>
    <mergeCell ref="F44:F45"/>
    <mergeCell ref="G44:G45"/>
    <mergeCell ref="H44:H45"/>
    <mergeCell ref="I44:I45"/>
    <mergeCell ref="A41:T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F62:F63"/>
    <mergeCell ref="G62:G63"/>
    <mergeCell ref="H62:H63"/>
    <mergeCell ref="I62:I63"/>
    <mergeCell ref="J44:J45"/>
    <mergeCell ref="K44:K45"/>
    <mergeCell ref="L44:L45"/>
    <mergeCell ref="M44:M45"/>
    <mergeCell ref="A58:T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A44:A45"/>
    <mergeCell ref="B44:B45"/>
    <mergeCell ref="H70:H72"/>
    <mergeCell ref="I70:I72"/>
    <mergeCell ref="J62:J63"/>
    <mergeCell ref="K62:K63"/>
    <mergeCell ref="L62:L63"/>
    <mergeCell ref="M62:M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K64:K66"/>
    <mergeCell ref="L64:L66"/>
    <mergeCell ref="M64:M66"/>
    <mergeCell ref="A62:A63"/>
    <mergeCell ref="B62:B63"/>
    <mergeCell ref="C62:C63"/>
    <mergeCell ref="D62:D63"/>
    <mergeCell ref="E62:E63"/>
    <mergeCell ref="J70:J72"/>
    <mergeCell ref="K70:K72"/>
    <mergeCell ref="L70:L72"/>
    <mergeCell ref="M70:M72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J73:J75"/>
    <mergeCell ref="K73:K75"/>
    <mergeCell ref="L73:L75"/>
    <mergeCell ref="M73:M75"/>
    <mergeCell ref="A70:A72"/>
    <mergeCell ref="B70:B72"/>
    <mergeCell ref="C70:C72"/>
    <mergeCell ref="D70:D72"/>
    <mergeCell ref="E70:E72"/>
    <mergeCell ref="F70:F72"/>
    <mergeCell ref="G70:G72"/>
    <mergeCell ref="L99:L102"/>
    <mergeCell ref="M99:M102"/>
    <mergeCell ref="J84:J85"/>
    <mergeCell ref="K84:K85"/>
    <mergeCell ref="L84:L85"/>
    <mergeCell ref="M84:M85"/>
    <mergeCell ref="A86:T86"/>
    <mergeCell ref="N89:N90"/>
    <mergeCell ref="O89:O90"/>
    <mergeCell ref="P89:P90"/>
    <mergeCell ref="Q89:Q90"/>
    <mergeCell ref="R89:R90"/>
    <mergeCell ref="S89:S90"/>
    <mergeCell ref="T89:T90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U89:U90"/>
    <mergeCell ref="A91:T91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92:L94"/>
    <mergeCell ref="M92:M94"/>
    <mergeCell ref="J106:J107"/>
    <mergeCell ref="K106:K107"/>
    <mergeCell ref="L106:L107"/>
    <mergeCell ref="M106:M107"/>
    <mergeCell ref="A99:A102"/>
    <mergeCell ref="B99:B102"/>
    <mergeCell ref="C99:C102"/>
    <mergeCell ref="D99:D102"/>
    <mergeCell ref="E99:E102"/>
    <mergeCell ref="F99:F102"/>
    <mergeCell ref="G99:G102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H99:H102"/>
    <mergeCell ref="I99:I102"/>
    <mergeCell ref="J99:J102"/>
    <mergeCell ref="K99:K102"/>
  </mergeCells>
  <pageMargins left="0.196527777777778" right="0.196527777777778" top="0.196527777777778" bottom="0.196527777777778" header="0.51180555555555496" footer="0.51180555555555496"/>
  <pageSetup paperSize="9" firstPageNumber="0" orientation="landscape" horizontalDpi="300" verticalDpi="300" r:id="rId1"/>
  <rowBreaks count="6" manualBreakCount="6">
    <brk id="18" max="16383" man="1"/>
    <brk id="34" max="16383" man="1"/>
    <brk id="47" max="16383" man="1"/>
    <brk id="61" max="16383" man="1"/>
    <brk id="79" max="16383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141"/>
  <sheetViews>
    <sheetView tabSelected="1" view="pageBreakPreview" topLeftCell="H112" zoomScale="60" zoomScaleNormal="66" zoomScalePageLayoutView="40" workbookViewId="0">
      <selection activeCell="U77" sqref="U77"/>
    </sheetView>
  </sheetViews>
  <sheetFormatPr defaultColWidth="9.140625" defaultRowHeight="35.25" x14ac:dyDescent="0.5"/>
  <cols>
    <col min="1" max="1" width="31.42578125" style="225" customWidth="1"/>
    <col min="2" max="2" width="15.140625" style="143" customWidth="1"/>
    <col min="3" max="3" width="18.140625" style="203" customWidth="1"/>
    <col min="4" max="4" width="18.85546875" style="203" customWidth="1"/>
    <col min="5" max="5" width="18" style="204" customWidth="1"/>
    <col min="6" max="6" width="17.42578125" style="204" customWidth="1"/>
    <col min="7" max="7" width="16.5703125" style="204" customWidth="1"/>
    <col min="8" max="8" width="17.5703125" style="204" customWidth="1"/>
    <col min="9" max="9" width="17.28515625" style="204" customWidth="1"/>
    <col min="10" max="10" width="16.85546875" style="204" customWidth="1"/>
    <col min="11" max="11" width="17.7109375" style="204" customWidth="1"/>
    <col min="12" max="12" width="12" style="204" customWidth="1"/>
    <col min="13" max="13" width="11.85546875" style="204" customWidth="1"/>
    <col min="14" max="14" width="18.5703125" style="204" customWidth="1"/>
    <col min="15" max="15" width="19" style="204" customWidth="1"/>
    <col min="16" max="16" width="32.28515625" style="105" customWidth="1"/>
    <col min="17" max="17" width="10" style="159" customWidth="1"/>
    <col min="18" max="18" width="9.85546875" style="144" customWidth="1"/>
    <col min="19" max="19" width="10" style="144" customWidth="1"/>
    <col min="20" max="20" width="10.28515625" style="144" customWidth="1"/>
    <col min="21" max="21" width="39.140625" style="119" customWidth="1"/>
    <col min="22" max="22" width="29" style="82" hidden="1" customWidth="1"/>
    <col min="23" max="23" width="22" style="84" customWidth="1"/>
    <col min="24" max="24" width="19.140625" style="84" customWidth="1"/>
    <col min="25" max="25" width="21.140625" style="84" customWidth="1"/>
    <col min="26" max="26" width="19.85546875" style="84" customWidth="1"/>
    <col min="27" max="27" width="17.28515625" style="83" customWidth="1"/>
    <col min="28" max="28" width="15.5703125" style="83" customWidth="1"/>
    <col min="29" max="1009" width="8.7109375" style="83" customWidth="1"/>
    <col min="1010" max="16384" width="9.140625" style="83"/>
  </cols>
  <sheetData>
    <row r="1" spans="1:27" ht="25.35" customHeight="1" x14ac:dyDescent="0.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W1" s="247"/>
      <c r="X1" s="247"/>
      <c r="Y1" s="247"/>
      <c r="Z1" s="129"/>
    </row>
    <row r="2" spans="1:27" ht="25.35" customHeight="1" x14ac:dyDescent="0.5">
      <c r="A2" s="252" t="s">
        <v>405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W2" s="247"/>
      <c r="X2" s="247"/>
      <c r="Y2" s="247"/>
      <c r="Z2" s="247"/>
    </row>
    <row r="3" spans="1:27" ht="24.75" customHeight="1" x14ac:dyDescent="0.5">
      <c r="A3" s="253" t="s">
        <v>417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W3" s="247"/>
      <c r="X3" s="247"/>
      <c r="Y3" s="247"/>
      <c r="Z3" s="247"/>
    </row>
    <row r="4" spans="1:27" ht="41.25" customHeight="1" x14ac:dyDescent="0.5">
      <c r="A4" s="267" t="s">
        <v>248</v>
      </c>
      <c r="B4" s="256" t="s">
        <v>3</v>
      </c>
      <c r="C4" s="255" t="s">
        <v>239</v>
      </c>
      <c r="D4" s="255" t="s">
        <v>232</v>
      </c>
      <c r="E4" s="255"/>
      <c r="F4" s="255" t="s">
        <v>233</v>
      </c>
      <c r="G4" s="255"/>
      <c r="H4" s="255"/>
      <c r="I4" s="255"/>
      <c r="J4" s="255"/>
      <c r="K4" s="255"/>
      <c r="L4" s="255"/>
      <c r="M4" s="255"/>
      <c r="N4" s="255"/>
      <c r="O4" s="255"/>
      <c r="P4" s="263" t="s">
        <v>244</v>
      </c>
      <c r="Q4" s="256" t="s">
        <v>250</v>
      </c>
      <c r="R4" s="256" t="s">
        <v>251</v>
      </c>
      <c r="S4" s="256" t="s">
        <v>274</v>
      </c>
      <c r="T4" s="256" t="s">
        <v>240</v>
      </c>
      <c r="U4" s="263" t="s">
        <v>249</v>
      </c>
      <c r="W4" s="247"/>
      <c r="X4" s="247"/>
      <c r="Y4" s="247"/>
      <c r="Z4" s="247"/>
    </row>
    <row r="5" spans="1:27" ht="89.25" customHeight="1" x14ac:dyDescent="0.5">
      <c r="A5" s="268"/>
      <c r="B5" s="256"/>
      <c r="C5" s="255"/>
      <c r="D5" s="255"/>
      <c r="E5" s="255"/>
      <c r="F5" s="255" t="s">
        <v>234</v>
      </c>
      <c r="G5" s="255"/>
      <c r="H5" s="255" t="s">
        <v>235</v>
      </c>
      <c r="I5" s="255"/>
      <c r="J5" s="255" t="s">
        <v>8</v>
      </c>
      <c r="K5" s="255"/>
      <c r="L5" s="255" t="s">
        <v>9</v>
      </c>
      <c r="M5" s="255"/>
      <c r="N5" s="255" t="s">
        <v>236</v>
      </c>
      <c r="O5" s="255"/>
      <c r="P5" s="263"/>
      <c r="Q5" s="256"/>
      <c r="R5" s="256"/>
      <c r="S5" s="256"/>
      <c r="T5" s="256"/>
      <c r="U5" s="263"/>
      <c r="W5" s="247"/>
      <c r="X5" s="247"/>
      <c r="Y5" s="247"/>
      <c r="Z5" s="247"/>
    </row>
    <row r="6" spans="1:27" s="86" customFormat="1" ht="129.75" customHeight="1" x14ac:dyDescent="0.5">
      <c r="A6" s="269"/>
      <c r="B6" s="256"/>
      <c r="C6" s="255"/>
      <c r="D6" s="111" t="s">
        <v>12</v>
      </c>
      <c r="E6" s="111" t="s">
        <v>13</v>
      </c>
      <c r="F6" s="111" t="s">
        <v>12</v>
      </c>
      <c r="G6" s="111" t="s">
        <v>13</v>
      </c>
      <c r="H6" s="111" t="s">
        <v>12</v>
      </c>
      <c r="I6" s="111" t="s">
        <v>13</v>
      </c>
      <c r="J6" s="111" t="s">
        <v>12</v>
      </c>
      <c r="K6" s="111" t="s">
        <v>13</v>
      </c>
      <c r="L6" s="111" t="s">
        <v>12</v>
      </c>
      <c r="M6" s="111" t="s">
        <v>13</v>
      </c>
      <c r="N6" s="111" t="s">
        <v>12</v>
      </c>
      <c r="O6" s="111" t="s">
        <v>13</v>
      </c>
      <c r="P6" s="263"/>
      <c r="Q6" s="256"/>
      <c r="R6" s="256"/>
      <c r="S6" s="256"/>
      <c r="T6" s="256"/>
      <c r="U6" s="263"/>
      <c r="V6" s="82"/>
      <c r="W6" s="85"/>
      <c r="X6" s="85"/>
      <c r="Y6" s="85"/>
      <c r="Z6" s="85"/>
    </row>
    <row r="7" spans="1:27" ht="40.5" customHeight="1" x14ac:dyDescent="0.5">
      <c r="A7" s="259" t="s">
        <v>241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</row>
    <row r="8" spans="1:27" ht="270.75" customHeight="1" x14ac:dyDescent="0.5">
      <c r="A8" s="207" t="s">
        <v>279</v>
      </c>
      <c r="B8" s="166">
        <f>B9+B64+B81</f>
        <v>1045381.7000000001</v>
      </c>
      <c r="C8" s="167">
        <f>C9+C64+C81</f>
        <v>1045256.87525</v>
      </c>
      <c r="D8" s="167">
        <f t="shared" ref="D8:E10" si="0">F8+H8+J8+L8+N8</f>
        <v>3324618.6597899999</v>
      </c>
      <c r="E8" s="167">
        <f t="shared" si="0"/>
        <v>3322312.0372099997</v>
      </c>
      <c r="F8" s="167">
        <f t="shared" ref="F8:O8" si="1">F9+F64+F81</f>
        <v>805360.29216000007</v>
      </c>
      <c r="G8" s="167">
        <f t="shared" si="1"/>
        <v>803565.29460000014</v>
      </c>
      <c r="H8" s="167">
        <f t="shared" si="1"/>
        <v>186827.88</v>
      </c>
      <c r="I8" s="167">
        <f t="shared" si="1"/>
        <v>186827.88</v>
      </c>
      <c r="J8" s="167">
        <f t="shared" si="1"/>
        <v>183934.12794000001</v>
      </c>
      <c r="K8" s="167">
        <f t="shared" si="1"/>
        <v>183422.50292</v>
      </c>
      <c r="L8" s="167">
        <f t="shared" si="1"/>
        <v>0</v>
      </c>
      <c r="M8" s="167">
        <f t="shared" si="1"/>
        <v>0</v>
      </c>
      <c r="N8" s="167">
        <f t="shared" si="1"/>
        <v>2148496.3596899998</v>
      </c>
      <c r="O8" s="167">
        <f t="shared" si="1"/>
        <v>2148496.3596899998</v>
      </c>
      <c r="P8" s="176" t="s">
        <v>252</v>
      </c>
      <c r="Q8" s="169">
        <v>101</v>
      </c>
      <c r="R8" s="169">
        <v>100.1</v>
      </c>
      <c r="S8" s="169">
        <v>101.5</v>
      </c>
      <c r="T8" s="169">
        <f>S8-R8</f>
        <v>1.4000000000000057</v>
      </c>
      <c r="U8" s="176" t="s">
        <v>418</v>
      </c>
    </row>
    <row r="9" spans="1:27" ht="188.25" customHeight="1" x14ac:dyDescent="0.5">
      <c r="A9" s="207" t="s">
        <v>280</v>
      </c>
      <c r="B9" s="166">
        <f>B12+B16+B62</f>
        <v>897376.00000000012</v>
      </c>
      <c r="C9" s="167">
        <f>C12+C16+C62</f>
        <v>897241.24207000004</v>
      </c>
      <c r="D9" s="167">
        <f t="shared" si="0"/>
        <v>2597271.0965499999</v>
      </c>
      <c r="E9" s="167">
        <f t="shared" si="0"/>
        <v>2595072.6651300001</v>
      </c>
      <c r="F9" s="167">
        <f t="shared" ref="F9:O9" si="2">F12+F16+F62</f>
        <v>692613.27716000006</v>
      </c>
      <c r="G9" s="167">
        <f t="shared" si="2"/>
        <v>690902.89633000013</v>
      </c>
      <c r="H9" s="167">
        <f t="shared" si="2"/>
        <v>0</v>
      </c>
      <c r="I9" s="167">
        <f t="shared" si="2"/>
        <v>0</v>
      </c>
      <c r="J9" s="167">
        <f t="shared" si="2"/>
        <v>152881.19476000001</v>
      </c>
      <c r="K9" s="167">
        <f t="shared" si="2"/>
        <v>152393.14417000001</v>
      </c>
      <c r="L9" s="167">
        <f t="shared" si="2"/>
        <v>0</v>
      </c>
      <c r="M9" s="167">
        <f t="shared" si="2"/>
        <v>0</v>
      </c>
      <c r="N9" s="167">
        <f t="shared" si="2"/>
        <v>1751776.62463</v>
      </c>
      <c r="O9" s="167">
        <f t="shared" si="2"/>
        <v>1751776.62463</v>
      </c>
      <c r="P9" s="176" t="s">
        <v>253</v>
      </c>
      <c r="Q9" s="169">
        <v>47.6</v>
      </c>
      <c r="R9" s="169">
        <v>50.9</v>
      </c>
      <c r="S9" s="169">
        <v>63.6</v>
      </c>
      <c r="T9" s="169">
        <f>S9/R9*100-100</f>
        <v>24.95088408644402</v>
      </c>
      <c r="U9" s="176" t="s">
        <v>418</v>
      </c>
    </row>
    <row r="10" spans="1:27" s="88" customFormat="1" ht="227.25" customHeight="1" x14ac:dyDescent="0.45">
      <c r="A10" s="270" t="s">
        <v>335</v>
      </c>
      <c r="B10" s="260">
        <v>140080.4</v>
      </c>
      <c r="C10" s="254">
        <v>140080.41237000001</v>
      </c>
      <c r="D10" s="254">
        <f t="shared" si="0"/>
        <v>543499.46</v>
      </c>
      <c r="E10" s="254">
        <f t="shared" si="0"/>
        <v>543499.46</v>
      </c>
      <c r="F10" s="249">
        <v>135878</v>
      </c>
      <c r="G10" s="249">
        <v>135878</v>
      </c>
      <c r="H10" s="249">
        <v>0</v>
      </c>
      <c r="I10" s="249">
        <v>0</v>
      </c>
      <c r="J10" s="249">
        <v>4202.41237</v>
      </c>
      <c r="K10" s="249">
        <v>4202.41237</v>
      </c>
      <c r="L10" s="249">
        <v>0</v>
      </c>
      <c r="M10" s="249">
        <v>0</v>
      </c>
      <c r="N10" s="249">
        <v>403419.04762999999</v>
      </c>
      <c r="O10" s="249">
        <v>403419.04762999999</v>
      </c>
      <c r="P10" s="176" t="s">
        <v>414</v>
      </c>
      <c r="Q10" s="169" t="s">
        <v>242</v>
      </c>
      <c r="R10" s="169">
        <v>256.2</v>
      </c>
      <c r="S10" s="169">
        <v>129.69999999999999</v>
      </c>
      <c r="T10" s="169">
        <f>S10/R10*100-100</f>
        <v>-49.375487900078063</v>
      </c>
      <c r="U10" s="176" t="s">
        <v>416</v>
      </c>
      <c r="V10" s="87"/>
      <c r="W10" s="84"/>
      <c r="X10" s="84"/>
      <c r="Y10" s="84"/>
      <c r="Z10" s="84"/>
      <c r="AA10" s="88">
        <v>1</v>
      </c>
    </row>
    <row r="11" spans="1:27" s="88" customFormat="1" ht="195.75" customHeight="1" x14ac:dyDescent="0.45">
      <c r="A11" s="270"/>
      <c r="B11" s="260"/>
      <c r="C11" s="254"/>
      <c r="D11" s="254">
        <f t="shared" ref="D11:E11" si="3">F11+H11+J11+L11+N11</f>
        <v>0</v>
      </c>
      <c r="E11" s="254">
        <f t="shared" si="3"/>
        <v>0</v>
      </c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176" t="s">
        <v>337</v>
      </c>
      <c r="Q11" s="169" t="s">
        <v>242</v>
      </c>
      <c r="R11" s="169">
        <v>4150</v>
      </c>
      <c r="S11" s="169">
        <f>1311.3+2901.8</f>
        <v>4213.1000000000004</v>
      </c>
      <c r="T11" s="169">
        <f>S11/R11*100-100</f>
        <v>1.5204819277108612</v>
      </c>
      <c r="U11" s="176" t="s">
        <v>418</v>
      </c>
      <c r="V11" s="87" t="s">
        <v>403</v>
      </c>
      <c r="W11" s="84"/>
      <c r="X11" s="84"/>
      <c r="Y11" s="84"/>
      <c r="Z11" s="84"/>
    </row>
    <row r="12" spans="1:27" s="92" customFormat="1" ht="66.75" customHeight="1" x14ac:dyDescent="0.45">
      <c r="A12" s="207" t="s">
        <v>275</v>
      </c>
      <c r="B12" s="166">
        <f>B10</f>
        <v>140080.4</v>
      </c>
      <c r="C12" s="167">
        <f>C10</f>
        <v>140080.41237000001</v>
      </c>
      <c r="D12" s="167">
        <f>F12+H12+J12+L12+N12</f>
        <v>543499.46</v>
      </c>
      <c r="E12" s="167">
        <f>G12+I12+K12+M12+O12</f>
        <v>543499.46</v>
      </c>
      <c r="F12" s="167">
        <f>F10</f>
        <v>135878</v>
      </c>
      <c r="G12" s="167">
        <f t="shared" ref="G12:O12" si="4">G10</f>
        <v>135878</v>
      </c>
      <c r="H12" s="167">
        <f t="shared" si="4"/>
        <v>0</v>
      </c>
      <c r="I12" s="167">
        <f t="shared" si="4"/>
        <v>0</v>
      </c>
      <c r="J12" s="167">
        <f t="shared" si="4"/>
        <v>4202.41237</v>
      </c>
      <c r="K12" s="167">
        <f t="shared" si="4"/>
        <v>4202.41237</v>
      </c>
      <c r="L12" s="167">
        <f t="shared" si="4"/>
        <v>0</v>
      </c>
      <c r="M12" s="167">
        <f t="shared" si="4"/>
        <v>0</v>
      </c>
      <c r="N12" s="167">
        <f t="shared" si="4"/>
        <v>403419.04762999999</v>
      </c>
      <c r="O12" s="167">
        <f t="shared" si="4"/>
        <v>403419.04762999999</v>
      </c>
      <c r="P12" s="177"/>
      <c r="Q12" s="166"/>
      <c r="R12" s="148"/>
      <c r="S12" s="148"/>
      <c r="T12" s="148"/>
      <c r="U12" s="113"/>
      <c r="V12" s="90"/>
      <c r="W12" s="91"/>
      <c r="X12" s="84"/>
      <c r="Y12" s="91"/>
      <c r="Z12" s="91"/>
    </row>
    <row r="13" spans="1:27" s="88" customFormat="1" ht="39.75" customHeight="1" x14ac:dyDescent="0.45">
      <c r="A13" s="207" t="s">
        <v>246</v>
      </c>
      <c r="B13" s="166">
        <v>0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77"/>
      <c r="Q13" s="166"/>
      <c r="R13" s="148"/>
      <c r="S13" s="148"/>
      <c r="T13" s="148"/>
      <c r="U13" s="114"/>
      <c r="V13" s="87"/>
      <c r="W13" s="89"/>
      <c r="X13" s="84"/>
      <c r="Y13" s="89"/>
      <c r="Z13" s="89"/>
    </row>
    <row r="14" spans="1:27" s="88" customFormat="1" ht="276.75" customHeight="1" x14ac:dyDescent="0.45">
      <c r="A14" s="298" t="s">
        <v>360</v>
      </c>
      <c r="B14" s="300">
        <v>114709.5</v>
      </c>
      <c r="C14" s="249">
        <v>114709.46799999999</v>
      </c>
      <c r="D14" s="249">
        <f t="shared" ref="D14" si="5">F14+H14+J14+L14+N14</f>
        <v>141242.14608999999</v>
      </c>
      <c r="E14" s="249">
        <f t="shared" ref="E14" si="6">G14+I14+K14+M14+O14</f>
        <v>141195.15187</v>
      </c>
      <c r="F14" s="249">
        <v>109569.10105</v>
      </c>
      <c r="G14" s="249">
        <v>109569.10057</v>
      </c>
      <c r="H14" s="249">
        <v>0</v>
      </c>
      <c r="I14" s="249">
        <v>0</v>
      </c>
      <c r="J14" s="249">
        <v>4161.9350400000003</v>
      </c>
      <c r="K14" s="249">
        <v>4114.9413000000004</v>
      </c>
      <c r="L14" s="249">
        <v>0</v>
      </c>
      <c r="M14" s="249">
        <v>0</v>
      </c>
      <c r="N14" s="249">
        <v>27511.11</v>
      </c>
      <c r="O14" s="249">
        <v>27511.11</v>
      </c>
      <c r="P14" s="292" t="s">
        <v>338</v>
      </c>
      <c r="Q14" s="290" t="s">
        <v>242</v>
      </c>
      <c r="R14" s="290">
        <v>39</v>
      </c>
      <c r="S14" s="290">
        <f>35+6</f>
        <v>41</v>
      </c>
      <c r="T14" s="290">
        <f>S14/R14*100-100</f>
        <v>5.1282051282051384</v>
      </c>
      <c r="U14" s="267" t="s">
        <v>418</v>
      </c>
      <c r="V14" s="87"/>
      <c r="W14" s="84"/>
      <c r="X14" s="84"/>
      <c r="Y14" s="84"/>
      <c r="Z14" s="84"/>
    </row>
    <row r="15" spans="1:27" s="88" customFormat="1" ht="132" customHeight="1" x14ac:dyDescent="0.45">
      <c r="A15" s="299"/>
      <c r="B15" s="301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93"/>
      <c r="Q15" s="291"/>
      <c r="R15" s="291"/>
      <c r="S15" s="291"/>
      <c r="T15" s="291"/>
      <c r="U15" s="269"/>
      <c r="V15" s="87"/>
      <c r="W15" s="84"/>
      <c r="X15" s="84"/>
      <c r="Y15" s="84"/>
      <c r="Z15" s="84"/>
    </row>
    <row r="16" spans="1:27" s="88" customFormat="1" ht="81" customHeight="1" x14ac:dyDescent="0.45">
      <c r="A16" s="207" t="s">
        <v>275</v>
      </c>
      <c r="B16" s="166">
        <f>B14</f>
        <v>114709.5</v>
      </c>
      <c r="C16" s="167">
        <f>C14</f>
        <v>114709.46799999999</v>
      </c>
      <c r="D16" s="167">
        <f>D14</f>
        <v>141242.14608999999</v>
      </c>
      <c r="E16" s="167">
        <f>E14</f>
        <v>141195.15187</v>
      </c>
      <c r="F16" s="167">
        <f t="shared" ref="F16:G16" si="7">F14</f>
        <v>109569.10105</v>
      </c>
      <c r="G16" s="167">
        <f t="shared" si="7"/>
        <v>109569.10057</v>
      </c>
      <c r="H16" s="167">
        <f>H14</f>
        <v>0</v>
      </c>
      <c r="I16" s="167">
        <f>I14</f>
        <v>0</v>
      </c>
      <c r="J16" s="167">
        <f t="shared" ref="J16:O16" si="8">J14</f>
        <v>4161.9350400000003</v>
      </c>
      <c r="K16" s="167">
        <f t="shared" si="8"/>
        <v>4114.9413000000004</v>
      </c>
      <c r="L16" s="167">
        <f t="shared" si="8"/>
        <v>0</v>
      </c>
      <c r="M16" s="167">
        <f t="shared" si="8"/>
        <v>0</v>
      </c>
      <c r="N16" s="167">
        <f t="shared" si="8"/>
        <v>27511.11</v>
      </c>
      <c r="O16" s="167">
        <f t="shared" si="8"/>
        <v>27511.11</v>
      </c>
      <c r="P16" s="72"/>
      <c r="Q16" s="169"/>
      <c r="R16" s="138"/>
      <c r="S16" s="138"/>
      <c r="T16" s="138"/>
      <c r="U16" s="122"/>
      <c r="V16" s="87"/>
      <c r="W16" s="89"/>
      <c r="X16" s="84"/>
      <c r="Y16" s="89"/>
      <c r="Z16" s="89"/>
    </row>
    <row r="17" spans="1:27" s="88" customFormat="1" ht="70.5" customHeight="1" x14ac:dyDescent="0.45">
      <c r="A17" s="207" t="s">
        <v>246</v>
      </c>
      <c r="B17" s="166">
        <v>0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77"/>
      <c r="Q17" s="166"/>
      <c r="R17" s="148"/>
      <c r="S17" s="148"/>
      <c r="T17" s="148"/>
      <c r="U17" s="114"/>
      <c r="V17" s="87"/>
      <c r="W17" s="89"/>
      <c r="X17" s="84"/>
      <c r="Y17" s="89"/>
      <c r="Z17" s="89"/>
    </row>
    <row r="18" spans="1:27" ht="75" customHeight="1" x14ac:dyDescent="0.5">
      <c r="A18" s="266" t="s">
        <v>281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</row>
    <row r="19" spans="1:27" ht="273" customHeight="1" x14ac:dyDescent="0.5">
      <c r="A19" s="210" t="s">
        <v>282</v>
      </c>
      <c r="B19" s="166">
        <f>B20</f>
        <v>270456.7</v>
      </c>
      <c r="C19" s="167">
        <f t="shared" ref="C19:O19" si="9">C20</f>
        <v>275817.38029</v>
      </c>
      <c r="D19" s="167">
        <f>F19+H19+J19+L19+N19</f>
        <v>259038.47191000002</v>
      </c>
      <c r="E19" s="167">
        <f>G19+I19+K19+M19+O19</f>
        <v>258888.15191000002</v>
      </c>
      <c r="F19" s="167">
        <f t="shared" si="9"/>
        <v>191924.79888000002</v>
      </c>
      <c r="G19" s="167">
        <f t="shared" si="9"/>
        <v>191807.47594999999</v>
      </c>
      <c r="H19" s="167">
        <f t="shared" si="9"/>
        <v>0</v>
      </c>
      <c r="I19" s="167">
        <f t="shared" si="9"/>
        <v>0</v>
      </c>
      <c r="J19" s="167">
        <f>J20</f>
        <v>67113.673030000005</v>
      </c>
      <c r="K19" s="167">
        <f t="shared" si="9"/>
        <v>67080.675960000008</v>
      </c>
      <c r="L19" s="167">
        <f t="shared" si="9"/>
        <v>0</v>
      </c>
      <c r="M19" s="167">
        <f t="shared" si="9"/>
        <v>0</v>
      </c>
      <c r="N19" s="167">
        <f t="shared" si="9"/>
        <v>0</v>
      </c>
      <c r="O19" s="167">
        <f t="shared" si="9"/>
        <v>0</v>
      </c>
      <c r="P19" s="170" t="s">
        <v>255</v>
      </c>
      <c r="Q19" s="169">
        <v>102</v>
      </c>
      <c r="R19" s="169">
        <v>100</v>
      </c>
      <c r="S19" s="169">
        <v>103.5</v>
      </c>
      <c r="T19" s="169">
        <f>S19-R19</f>
        <v>3.5</v>
      </c>
      <c r="U19" s="163" t="s">
        <v>418</v>
      </c>
    </row>
    <row r="20" spans="1:27" ht="186" customHeight="1" x14ac:dyDescent="0.5">
      <c r="A20" s="210" t="s">
        <v>283</v>
      </c>
      <c r="B20" s="166">
        <f>B21+B30+B34</f>
        <v>270456.7</v>
      </c>
      <c r="C20" s="167">
        <f>C21+C30+C34</f>
        <v>275817.38029</v>
      </c>
      <c r="D20" s="167">
        <f>F20+H20+J20+L20+N20</f>
        <v>259038.47191000002</v>
      </c>
      <c r="E20" s="167">
        <f>G20+I20+K20+M20+O20</f>
        <v>258888.15191000002</v>
      </c>
      <c r="F20" s="167">
        <f t="shared" ref="F20:O20" si="10">F21+F30+F34</f>
        <v>191924.79888000002</v>
      </c>
      <c r="G20" s="167">
        <f t="shared" si="10"/>
        <v>191807.47594999999</v>
      </c>
      <c r="H20" s="167">
        <f t="shared" si="10"/>
        <v>0</v>
      </c>
      <c r="I20" s="167">
        <f t="shared" si="10"/>
        <v>0</v>
      </c>
      <c r="J20" s="167">
        <f t="shared" si="10"/>
        <v>67113.673030000005</v>
      </c>
      <c r="K20" s="167">
        <f t="shared" si="10"/>
        <v>67080.675960000008</v>
      </c>
      <c r="L20" s="167">
        <f t="shared" si="10"/>
        <v>0</v>
      </c>
      <c r="M20" s="167">
        <f t="shared" si="10"/>
        <v>0</v>
      </c>
      <c r="N20" s="167">
        <f t="shared" si="10"/>
        <v>0</v>
      </c>
      <c r="O20" s="167">
        <f t="shared" si="10"/>
        <v>0</v>
      </c>
      <c r="P20" s="170" t="s">
        <v>256</v>
      </c>
      <c r="Q20" s="169">
        <v>17.3</v>
      </c>
      <c r="R20" s="169">
        <v>29.9</v>
      </c>
      <c r="S20" s="169">
        <v>39.700000000000003</v>
      </c>
      <c r="T20" s="169">
        <f>S20/R20*100-100</f>
        <v>32.77591973244148</v>
      </c>
      <c r="U20" s="170" t="s">
        <v>418</v>
      </c>
    </row>
    <row r="21" spans="1:27" ht="315.75" customHeight="1" x14ac:dyDescent="0.5">
      <c r="A21" s="271" t="s">
        <v>284</v>
      </c>
      <c r="B21" s="290">
        <v>171662.5</v>
      </c>
      <c r="C21" s="257">
        <v>171643.03125999999</v>
      </c>
      <c r="D21" s="257">
        <f t="shared" ref="D21:E21" si="11">F21+H21+J21+L21+N21</f>
        <v>154864.12287999998</v>
      </c>
      <c r="E21" s="257">
        <f t="shared" si="11"/>
        <v>154864.12287999998</v>
      </c>
      <c r="F21" s="257">
        <f>106646.41823</f>
        <v>106646.41823</v>
      </c>
      <c r="G21" s="257">
        <v>106646.41823</v>
      </c>
      <c r="H21" s="257">
        <v>0</v>
      </c>
      <c r="I21" s="257">
        <v>0</v>
      </c>
      <c r="J21" s="257">
        <f>48386.78522-169.08057</f>
        <v>48217.70465</v>
      </c>
      <c r="K21" s="257">
        <f>48386.78522-169.08057</f>
        <v>48217.70465</v>
      </c>
      <c r="L21" s="257">
        <v>0</v>
      </c>
      <c r="M21" s="257">
        <v>0</v>
      </c>
      <c r="N21" s="257">
        <v>0</v>
      </c>
      <c r="O21" s="257">
        <v>0</v>
      </c>
      <c r="P21" s="170" t="s">
        <v>355</v>
      </c>
      <c r="Q21" s="169" t="s">
        <v>242</v>
      </c>
      <c r="R21" s="169">
        <v>38</v>
      </c>
      <c r="S21" s="169">
        <v>40.200000000000003</v>
      </c>
      <c r="T21" s="169">
        <f>S21/R21*100-100</f>
        <v>5.7894736842105488</v>
      </c>
      <c r="U21" s="170" t="s">
        <v>418</v>
      </c>
      <c r="AA21" s="84"/>
    </row>
    <row r="22" spans="1:27" ht="198.75" customHeight="1" x14ac:dyDescent="0.5">
      <c r="A22" s="302"/>
      <c r="B22" s="291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170" t="s">
        <v>257</v>
      </c>
      <c r="Q22" s="165">
        <v>450.5</v>
      </c>
      <c r="R22" s="169">
        <v>1185</v>
      </c>
      <c r="S22" s="169">
        <v>1286.2</v>
      </c>
      <c r="T22" s="169">
        <f>S22/R22*100-100</f>
        <v>8.5400843881856474</v>
      </c>
      <c r="U22" s="170" t="s">
        <v>418</v>
      </c>
    </row>
    <row r="23" spans="1:27" ht="171.75" customHeight="1" x14ac:dyDescent="0.5">
      <c r="A23" s="179"/>
      <c r="B23" s="133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73" t="s">
        <v>258</v>
      </c>
      <c r="Q23" s="165">
        <v>223.1</v>
      </c>
      <c r="R23" s="165">
        <v>325</v>
      </c>
      <c r="S23" s="165">
        <v>360.2</v>
      </c>
      <c r="T23" s="165">
        <f>S23/R23*100-100</f>
        <v>10.830769230769221</v>
      </c>
      <c r="U23" s="172" t="s">
        <v>418</v>
      </c>
    </row>
    <row r="24" spans="1:27" ht="116.25" customHeight="1" x14ac:dyDescent="0.45">
      <c r="A24" s="179"/>
      <c r="B24" s="133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70" t="s">
        <v>259</v>
      </c>
      <c r="Q24" s="169">
        <v>8.5</v>
      </c>
      <c r="R24" s="169">
        <v>5</v>
      </c>
      <c r="S24" s="169">
        <v>5.2</v>
      </c>
      <c r="T24" s="169">
        <f>S24-R24</f>
        <v>0.20000000000000018</v>
      </c>
      <c r="U24" s="170" t="s">
        <v>418</v>
      </c>
      <c r="V24" s="87"/>
    </row>
    <row r="25" spans="1:27" ht="127.5" customHeight="1" x14ac:dyDescent="0.5">
      <c r="A25" s="179"/>
      <c r="B25" s="133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70" t="s">
        <v>262</v>
      </c>
      <c r="Q25" s="169" t="s">
        <v>242</v>
      </c>
      <c r="R25" s="169">
        <v>16.5</v>
      </c>
      <c r="S25" s="169">
        <v>16.600000000000001</v>
      </c>
      <c r="T25" s="169">
        <f>S25-R25</f>
        <v>0.10000000000000142</v>
      </c>
      <c r="U25" s="171" t="s">
        <v>418</v>
      </c>
    </row>
    <row r="26" spans="1:27" ht="68.25" customHeight="1" x14ac:dyDescent="0.45">
      <c r="A26" s="179"/>
      <c r="B26" s="133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70" t="s">
        <v>260</v>
      </c>
      <c r="Q26" s="169">
        <v>33.799999999999997</v>
      </c>
      <c r="R26" s="169">
        <v>24.4</v>
      </c>
      <c r="S26" s="169">
        <v>33.299999999999997</v>
      </c>
      <c r="T26" s="169">
        <f>S26-R26</f>
        <v>8.8999999999999986</v>
      </c>
      <c r="U26" s="170" t="s">
        <v>418</v>
      </c>
      <c r="V26" s="87"/>
    </row>
    <row r="27" spans="1:27" ht="175.5" customHeight="1" x14ac:dyDescent="0.5">
      <c r="A27" s="211"/>
      <c r="B27" s="134"/>
      <c r="C27" s="182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70" t="s">
        <v>261</v>
      </c>
      <c r="Q27" s="169" t="s">
        <v>242</v>
      </c>
      <c r="R27" s="169">
        <v>1.08</v>
      </c>
      <c r="S27" s="169">
        <v>1.1599999999999999</v>
      </c>
      <c r="T27" s="169">
        <f t="shared" ref="T27:T34" si="12">S27/R27*100-100</f>
        <v>7.4074074074073906</v>
      </c>
      <c r="U27" s="171" t="s">
        <v>418</v>
      </c>
    </row>
    <row r="28" spans="1:27" ht="168" customHeight="1" x14ac:dyDescent="0.5">
      <c r="A28" s="179"/>
      <c r="B28" s="133"/>
      <c r="C28" s="181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73" t="s">
        <v>311</v>
      </c>
      <c r="Q28" s="169" t="s">
        <v>242</v>
      </c>
      <c r="R28" s="169">
        <v>0.5</v>
      </c>
      <c r="S28" s="169">
        <v>3.8</v>
      </c>
      <c r="T28" s="169" t="s">
        <v>419</v>
      </c>
      <c r="U28" s="171" t="s">
        <v>418</v>
      </c>
    </row>
    <row r="29" spans="1:27" ht="129.75" customHeight="1" x14ac:dyDescent="0.5">
      <c r="A29" s="211"/>
      <c r="B29" s="134"/>
      <c r="C29" s="182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70" t="s">
        <v>312</v>
      </c>
      <c r="Q29" s="169" t="s">
        <v>242</v>
      </c>
      <c r="R29" s="169">
        <v>8.1999999999999993</v>
      </c>
      <c r="S29" s="169">
        <v>8.65</v>
      </c>
      <c r="T29" s="169">
        <f t="shared" si="12"/>
        <v>5.4878048780487916</v>
      </c>
      <c r="U29" s="171" t="s">
        <v>418</v>
      </c>
    </row>
    <row r="30" spans="1:27" ht="168.75" customHeight="1" x14ac:dyDescent="0.5">
      <c r="A30" s="271" t="s">
        <v>285</v>
      </c>
      <c r="B30" s="303">
        <v>98494.2</v>
      </c>
      <c r="C30" s="257">
        <v>104005.26846000001</v>
      </c>
      <c r="D30" s="257">
        <f>F30+H30+J30+L30+N30</f>
        <v>104005.26846000001</v>
      </c>
      <c r="E30" s="257">
        <f>G30+I30+K30+M30+O30</f>
        <v>103854.94846</v>
      </c>
      <c r="F30" s="257">
        <f>85278.38065</f>
        <v>85278.380650000006</v>
      </c>
      <c r="G30" s="257">
        <v>85161.057719999997</v>
      </c>
      <c r="H30" s="257">
        <v>0</v>
      </c>
      <c r="I30" s="257">
        <v>0</v>
      </c>
      <c r="J30" s="257">
        <f>18726.88781</f>
        <v>18726.88781</v>
      </c>
      <c r="K30" s="257">
        <v>18693.890739999999</v>
      </c>
      <c r="L30" s="257">
        <v>0</v>
      </c>
      <c r="M30" s="257">
        <v>0</v>
      </c>
      <c r="N30" s="257">
        <v>0</v>
      </c>
      <c r="O30" s="257">
        <v>0</v>
      </c>
      <c r="P30" s="170" t="s">
        <v>313</v>
      </c>
      <c r="Q30" s="169" t="s">
        <v>242</v>
      </c>
      <c r="R30" s="169">
        <v>36.799999999999997</v>
      </c>
      <c r="S30" s="169">
        <v>63</v>
      </c>
      <c r="T30" s="169">
        <f t="shared" si="12"/>
        <v>71.195652173913061</v>
      </c>
      <c r="U30" s="171" t="s">
        <v>418</v>
      </c>
    </row>
    <row r="31" spans="1:27" ht="279" customHeight="1" x14ac:dyDescent="0.5">
      <c r="A31" s="272"/>
      <c r="B31" s="30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2" t="s">
        <v>339</v>
      </c>
      <c r="Q31" s="290" t="s">
        <v>242</v>
      </c>
      <c r="R31" s="290">
        <v>0.5</v>
      </c>
      <c r="S31" s="290">
        <v>30.88</v>
      </c>
      <c r="T31" s="290" t="s">
        <v>420</v>
      </c>
      <c r="U31" s="292" t="s">
        <v>418</v>
      </c>
    </row>
    <row r="32" spans="1:27" ht="217.5" hidden="1" customHeight="1" x14ac:dyDescent="0.5">
      <c r="A32" s="272"/>
      <c r="B32" s="30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3"/>
      <c r="Q32" s="291"/>
      <c r="R32" s="291"/>
      <c r="S32" s="291"/>
      <c r="T32" s="291"/>
      <c r="U32" s="293"/>
    </row>
    <row r="33" spans="1:22" ht="155.25" customHeight="1" x14ac:dyDescent="0.5">
      <c r="A33" s="302"/>
      <c r="B33" s="305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170" t="s">
        <v>386</v>
      </c>
      <c r="Q33" s="169">
        <v>2.8000000000000001E-2</v>
      </c>
      <c r="R33" s="111">
        <v>0.01</v>
      </c>
      <c r="S33" s="111">
        <v>0.03</v>
      </c>
      <c r="T33" s="169" t="s">
        <v>421</v>
      </c>
      <c r="U33" s="170" t="s">
        <v>418</v>
      </c>
    </row>
    <row r="34" spans="1:22" ht="226.5" customHeight="1" x14ac:dyDescent="0.5">
      <c r="A34" s="109" t="s">
        <v>336</v>
      </c>
      <c r="B34" s="169">
        <v>300</v>
      </c>
      <c r="C34" s="111">
        <v>169.08056999999999</v>
      </c>
      <c r="D34" s="111">
        <f t="shared" ref="D34:E34" si="13">F34+H34+J34+L34+N34</f>
        <v>169.08056999999999</v>
      </c>
      <c r="E34" s="111">
        <f t="shared" si="13"/>
        <v>169.08056999999999</v>
      </c>
      <c r="F34" s="111">
        <v>0</v>
      </c>
      <c r="G34" s="111">
        <v>0</v>
      </c>
      <c r="H34" s="111">
        <v>0</v>
      </c>
      <c r="I34" s="111">
        <v>0</v>
      </c>
      <c r="J34" s="111">
        <v>169.08056999999999</v>
      </c>
      <c r="K34" s="111">
        <v>169.08056999999999</v>
      </c>
      <c r="L34" s="111">
        <v>0</v>
      </c>
      <c r="M34" s="111">
        <v>0</v>
      </c>
      <c r="N34" s="111">
        <v>0</v>
      </c>
      <c r="O34" s="111">
        <v>0</v>
      </c>
      <c r="P34" s="170" t="s">
        <v>314</v>
      </c>
      <c r="Q34" s="169" t="s">
        <v>242</v>
      </c>
      <c r="R34" s="169">
        <v>1</v>
      </c>
      <c r="S34" s="169">
        <v>2</v>
      </c>
      <c r="T34" s="169">
        <f t="shared" si="12"/>
        <v>100</v>
      </c>
      <c r="U34" s="170" t="s">
        <v>418</v>
      </c>
    </row>
    <row r="35" spans="1:22" ht="162.75" customHeight="1" x14ac:dyDescent="0.4">
      <c r="A35" s="210" t="s">
        <v>286</v>
      </c>
      <c r="B35" s="135">
        <f>B36</f>
        <v>201412.6</v>
      </c>
      <c r="C35" s="184">
        <f>C36</f>
        <v>195917.15193999998</v>
      </c>
      <c r="D35" s="184">
        <f t="shared" ref="D35:E37" si="14">F35+H35+J35+L35+N35</f>
        <v>183917.20716000002</v>
      </c>
      <c r="E35" s="184">
        <f t="shared" si="14"/>
        <v>181981.58687</v>
      </c>
      <c r="F35" s="184">
        <f>F36</f>
        <v>133865.61563000001</v>
      </c>
      <c r="G35" s="184">
        <f t="shared" ref="G35:O35" si="15">G36</f>
        <v>132272.56021</v>
      </c>
      <c r="H35" s="184">
        <f t="shared" si="15"/>
        <v>0</v>
      </c>
      <c r="I35" s="184">
        <f t="shared" si="15"/>
        <v>0</v>
      </c>
      <c r="J35" s="184">
        <f t="shared" si="15"/>
        <v>50051.591529999998</v>
      </c>
      <c r="K35" s="184">
        <f t="shared" si="15"/>
        <v>49709.026660000003</v>
      </c>
      <c r="L35" s="184">
        <f t="shared" si="15"/>
        <v>0</v>
      </c>
      <c r="M35" s="184">
        <f t="shared" si="15"/>
        <v>0</v>
      </c>
      <c r="N35" s="184">
        <f t="shared" si="15"/>
        <v>0</v>
      </c>
      <c r="O35" s="184">
        <f t="shared" si="15"/>
        <v>0</v>
      </c>
      <c r="P35" s="170" t="s">
        <v>263</v>
      </c>
      <c r="Q35" s="169">
        <v>100.6</v>
      </c>
      <c r="R35" s="169">
        <v>100.1</v>
      </c>
      <c r="S35" s="169">
        <v>98</v>
      </c>
      <c r="T35" s="169">
        <f>S35-R35</f>
        <v>-2.0999999999999943</v>
      </c>
      <c r="U35" s="170" t="s">
        <v>407</v>
      </c>
      <c r="V35" s="130" t="s">
        <v>439</v>
      </c>
    </row>
    <row r="36" spans="1:22" ht="179.25" customHeight="1" x14ac:dyDescent="0.5">
      <c r="A36" s="210" t="s">
        <v>287</v>
      </c>
      <c r="B36" s="135">
        <f>B37+B48+B50</f>
        <v>201412.6</v>
      </c>
      <c r="C36" s="184">
        <f>C37+C48+C50</f>
        <v>195917.15193999998</v>
      </c>
      <c r="D36" s="184">
        <f t="shared" si="14"/>
        <v>183917.20716000002</v>
      </c>
      <c r="E36" s="184">
        <f t="shared" si="14"/>
        <v>181981.58687</v>
      </c>
      <c r="F36" s="184">
        <f t="shared" ref="F36:O36" si="16">F37+F48+F50</f>
        <v>133865.61563000001</v>
      </c>
      <c r="G36" s="184">
        <f t="shared" si="16"/>
        <v>132272.56021</v>
      </c>
      <c r="H36" s="184">
        <f t="shared" si="16"/>
        <v>0</v>
      </c>
      <c r="I36" s="184">
        <f t="shared" si="16"/>
        <v>0</v>
      </c>
      <c r="J36" s="184">
        <f t="shared" si="16"/>
        <v>50051.591529999998</v>
      </c>
      <c r="K36" s="184">
        <f t="shared" si="16"/>
        <v>49709.026660000003</v>
      </c>
      <c r="L36" s="184">
        <f t="shared" si="16"/>
        <v>0</v>
      </c>
      <c r="M36" s="184">
        <f t="shared" si="16"/>
        <v>0</v>
      </c>
      <c r="N36" s="184">
        <f t="shared" si="16"/>
        <v>0</v>
      </c>
      <c r="O36" s="184">
        <f t="shared" si="16"/>
        <v>0</v>
      </c>
      <c r="P36" s="170" t="s">
        <v>264</v>
      </c>
      <c r="Q36" s="169">
        <v>13.1</v>
      </c>
      <c r="R36" s="169">
        <v>21</v>
      </c>
      <c r="S36" s="169">
        <v>23.9</v>
      </c>
      <c r="T36" s="169">
        <f t="shared" ref="T36:T42" si="17">S36/R36*100-100</f>
        <v>13.80952380952381</v>
      </c>
      <c r="U36" s="170" t="s">
        <v>418</v>
      </c>
    </row>
    <row r="37" spans="1:22" ht="83.25" customHeight="1" x14ac:dyDescent="0.4">
      <c r="A37" s="271" t="s">
        <v>361</v>
      </c>
      <c r="B37" s="277">
        <v>161792.6</v>
      </c>
      <c r="C37" s="279">
        <v>161808.22039999999</v>
      </c>
      <c r="D37" s="279">
        <f t="shared" si="14"/>
        <v>161808.27565</v>
      </c>
      <c r="E37" s="279">
        <f t="shared" si="14"/>
        <v>161734.96786999999</v>
      </c>
      <c r="F37" s="279">
        <v>116238.79257000001</v>
      </c>
      <c r="G37" s="279">
        <v>116178.73263</v>
      </c>
      <c r="H37" s="279">
        <v>0</v>
      </c>
      <c r="I37" s="279">
        <v>0</v>
      </c>
      <c r="J37" s="279">
        <v>45569.483079999998</v>
      </c>
      <c r="K37" s="279">
        <v>45556.235240000002</v>
      </c>
      <c r="L37" s="279">
        <v>0</v>
      </c>
      <c r="M37" s="279">
        <v>0</v>
      </c>
      <c r="N37" s="279">
        <v>0</v>
      </c>
      <c r="O37" s="279">
        <v>0</v>
      </c>
      <c r="P37" s="72" t="s">
        <v>267</v>
      </c>
      <c r="Q37" s="169">
        <v>172</v>
      </c>
      <c r="R37" s="169">
        <v>179</v>
      </c>
      <c r="S37" s="169">
        <v>178.2</v>
      </c>
      <c r="T37" s="169">
        <f t="shared" si="17"/>
        <v>-0.44692737430167995</v>
      </c>
      <c r="U37" s="170" t="s">
        <v>408</v>
      </c>
      <c r="V37" s="130" t="s">
        <v>415</v>
      </c>
    </row>
    <row r="38" spans="1:22" ht="151.5" customHeight="1" x14ac:dyDescent="0.5">
      <c r="A38" s="272"/>
      <c r="B38" s="278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170" t="s">
        <v>265</v>
      </c>
      <c r="Q38" s="169">
        <v>32.9</v>
      </c>
      <c r="R38" s="169">
        <v>38.799999999999997</v>
      </c>
      <c r="S38" s="169">
        <v>42.4</v>
      </c>
      <c r="T38" s="169">
        <f t="shared" si="17"/>
        <v>9.2783505154639272</v>
      </c>
      <c r="U38" s="170" t="s">
        <v>418</v>
      </c>
    </row>
    <row r="39" spans="1:22" ht="147.75" customHeight="1" x14ac:dyDescent="0.5">
      <c r="A39" s="272"/>
      <c r="B39" s="278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178" t="s">
        <v>278</v>
      </c>
      <c r="Q39" s="165" t="s">
        <v>242</v>
      </c>
      <c r="R39" s="165">
        <v>235.5</v>
      </c>
      <c r="S39" s="165">
        <v>257.8</v>
      </c>
      <c r="T39" s="165">
        <f t="shared" si="17"/>
        <v>9.4692144373672988</v>
      </c>
      <c r="U39" s="170" t="s">
        <v>418</v>
      </c>
    </row>
    <row r="40" spans="1:22" ht="229.5" customHeight="1" x14ac:dyDescent="0.5">
      <c r="A40" s="272"/>
      <c r="B40" s="297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95" t="s">
        <v>340</v>
      </c>
      <c r="Q40" s="290" t="s">
        <v>242</v>
      </c>
      <c r="R40" s="290">
        <v>24.1</v>
      </c>
      <c r="S40" s="290">
        <v>29.9</v>
      </c>
      <c r="T40" s="290">
        <f t="shared" si="17"/>
        <v>24.066390041493761</v>
      </c>
      <c r="U40" s="292" t="s">
        <v>418</v>
      </c>
    </row>
    <row r="41" spans="1:22" ht="31.5" customHeight="1" x14ac:dyDescent="0.5">
      <c r="A41" s="272"/>
      <c r="B41" s="297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96"/>
      <c r="Q41" s="291"/>
      <c r="R41" s="291"/>
      <c r="S41" s="291"/>
      <c r="T41" s="291"/>
      <c r="U41" s="293"/>
    </row>
    <row r="42" spans="1:22" ht="80.25" customHeight="1" x14ac:dyDescent="0.5">
      <c r="A42" s="179"/>
      <c r="B42" s="136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72" t="s">
        <v>268</v>
      </c>
      <c r="Q42" s="169">
        <v>68.2</v>
      </c>
      <c r="R42" s="169">
        <v>72.599999999999994</v>
      </c>
      <c r="S42" s="169">
        <v>72.680000000000007</v>
      </c>
      <c r="T42" s="169">
        <f t="shared" si="17"/>
        <v>0.11019283746558983</v>
      </c>
      <c r="U42" s="170" t="s">
        <v>418</v>
      </c>
    </row>
    <row r="43" spans="1:22" ht="120" customHeight="1" x14ac:dyDescent="0.5">
      <c r="A43" s="211"/>
      <c r="B43" s="137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72" t="s">
        <v>341</v>
      </c>
      <c r="Q43" s="169" t="s">
        <v>242</v>
      </c>
      <c r="R43" s="169">
        <v>13.4</v>
      </c>
      <c r="S43" s="169">
        <v>15.7</v>
      </c>
      <c r="T43" s="169">
        <f t="shared" ref="T43:T46" si="18">S43/R43*100-100</f>
        <v>17.164179104477611</v>
      </c>
      <c r="U43" s="170" t="s">
        <v>418</v>
      </c>
    </row>
    <row r="44" spans="1:22" ht="294.75" customHeight="1" x14ac:dyDescent="0.5">
      <c r="A44" s="212"/>
      <c r="B44" s="136"/>
      <c r="C44" s="186"/>
      <c r="D44" s="185"/>
      <c r="E44" s="186"/>
      <c r="F44" s="185"/>
      <c r="G44" s="186"/>
      <c r="H44" s="185"/>
      <c r="I44" s="186"/>
      <c r="J44" s="185"/>
      <c r="K44" s="185"/>
      <c r="L44" s="185"/>
      <c r="M44" s="185"/>
      <c r="N44" s="185"/>
      <c r="O44" s="187"/>
      <c r="P44" s="208" t="s">
        <v>342</v>
      </c>
      <c r="Q44" s="165">
        <v>773</v>
      </c>
      <c r="R44" s="169">
        <v>650.04999999999995</v>
      </c>
      <c r="S44" s="169">
        <v>653.41</v>
      </c>
      <c r="T44" s="169">
        <f t="shared" si="18"/>
        <v>0.5168833166679434</v>
      </c>
      <c r="U44" s="170" t="s">
        <v>418</v>
      </c>
    </row>
    <row r="45" spans="1:22" ht="243.75" customHeight="1" x14ac:dyDescent="0.5">
      <c r="A45" s="212"/>
      <c r="B45" s="136"/>
      <c r="C45" s="186"/>
      <c r="D45" s="185"/>
      <c r="E45" s="186"/>
      <c r="F45" s="185"/>
      <c r="G45" s="186"/>
      <c r="H45" s="185"/>
      <c r="I45" s="186"/>
      <c r="J45" s="185"/>
      <c r="K45" s="185"/>
      <c r="L45" s="185"/>
      <c r="M45" s="185"/>
      <c r="N45" s="185"/>
      <c r="O45" s="187"/>
      <c r="P45" s="131" t="s">
        <v>343</v>
      </c>
      <c r="Q45" s="169">
        <v>18.100000000000001</v>
      </c>
      <c r="R45" s="169">
        <v>19.600000000000001</v>
      </c>
      <c r="S45" s="169">
        <v>21</v>
      </c>
      <c r="T45" s="169">
        <f t="shared" si="18"/>
        <v>7.1428571428571388</v>
      </c>
      <c r="U45" s="170" t="s">
        <v>418</v>
      </c>
    </row>
    <row r="46" spans="1:22" ht="384" customHeight="1" x14ac:dyDescent="0.5">
      <c r="A46" s="179"/>
      <c r="B46" s="136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72" t="s">
        <v>266</v>
      </c>
      <c r="Q46" s="111">
        <v>0.09</v>
      </c>
      <c r="R46" s="132">
        <v>9.5000000000000001E-2</v>
      </c>
      <c r="S46" s="132">
        <v>9.6000000000000002E-2</v>
      </c>
      <c r="T46" s="169">
        <f t="shared" si="18"/>
        <v>1.0526315789473699</v>
      </c>
      <c r="U46" s="170" t="s">
        <v>418</v>
      </c>
    </row>
    <row r="47" spans="1:22" ht="219" customHeight="1" x14ac:dyDescent="0.5">
      <c r="A47" s="211"/>
      <c r="B47" s="13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72" t="s">
        <v>269</v>
      </c>
      <c r="Q47" s="169" t="s">
        <v>242</v>
      </c>
      <c r="R47" s="111">
        <v>0.04</v>
      </c>
      <c r="S47" s="111">
        <v>12.54</v>
      </c>
      <c r="T47" s="169" t="s">
        <v>422</v>
      </c>
      <c r="U47" s="170" t="s">
        <v>418</v>
      </c>
    </row>
    <row r="48" spans="1:22" ht="396" customHeight="1" x14ac:dyDescent="0.5">
      <c r="A48" s="264" t="s">
        <v>288</v>
      </c>
      <c r="B48" s="273">
        <v>39000</v>
      </c>
      <c r="C48" s="251">
        <v>33488.931539999998</v>
      </c>
      <c r="D48" s="251">
        <f t="shared" ref="D48" si="19">F48+H48+J48+L48+N48</f>
        <v>21488.931510000002</v>
      </c>
      <c r="E48" s="251">
        <f>G48+I48+K48+M48+O48</f>
        <v>19626.618999999999</v>
      </c>
      <c r="F48" s="251">
        <f>17547.33981+79.48325</f>
        <v>17626.823060000002</v>
      </c>
      <c r="G48" s="251">
        <v>16093.827579999999</v>
      </c>
      <c r="H48" s="251">
        <v>0</v>
      </c>
      <c r="I48" s="251">
        <v>0</v>
      </c>
      <c r="J48" s="251">
        <f>3941.59173-79.48328</f>
        <v>3862.1084500000002</v>
      </c>
      <c r="K48" s="251">
        <v>3532.79142</v>
      </c>
      <c r="L48" s="251">
        <v>0</v>
      </c>
      <c r="M48" s="251">
        <v>0</v>
      </c>
      <c r="N48" s="251">
        <v>0</v>
      </c>
      <c r="O48" s="251">
        <v>0</v>
      </c>
      <c r="P48" s="72" t="s">
        <v>344</v>
      </c>
      <c r="Q48" s="169" t="s">
        <v>242</v>
      </c>
      <c r="R48" s="111">
        <v>0.05</v>
      </c>
      <c r="S48" s="111">
        <v>0.35699999999999998</v>
      </c>
      <c r="T48" s="169" t="s">
        <v>424</v>
      </c>
      <c r="U48" s="176" t="s">
        <v>418</v>
      </c>
    </row>
    <row r="49" spans="1:27" ht="378.75" customHeight="1" x14ac:dyDescent="0.5">
      <c r="A49" s="264"/>
      <c r="B49" s="273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72" t="s">
        <v>345</v>
      </c>
      <c r="Q49" s="169" t="s">
        <v>242</v>
      </c>
      <c r="R49" s="111">
        <v>0.05</v>
      </c>
      <c r="S49" s="111">
        <v>0.46</v>
      </c>
      <c r="T49" s="169" t="s">
        <v>423</v>
      </c>
      <c r="U49" s="176" t="s">
        <v>418</v>
      </c>
    </row>
    <row r="50" spans="1:27" ht="229.5" customHeight="1" x14ac:dyDescent="0.5">
      <c r="A50" s="213" t="s">
        <v>391</v>
      </c>
      <c r="B50" s="174">
        <v>620</v>
      </c>
      <c r="C50" s="189">
        <v>620</v>
      </c>
      <c r="D50" s="189">
        <f t="shared" ref="D50:E50" si="20">F50+H50+J50+L50+N50</f>
        <v>620</v>
      </c>
      <c r="E50" s="189">
        <f t="shared" si="20"/>
        <v>620</v>
      </c>
      <c r="F50" s="189">
        <v>0</v>
      </c>
      <c r="G50" s="189">
        <v>0</v>
      </c>
      <c r="H50" s="189">
        <v>0</v>
      </c>
      <c r="I50" s="189">
        <v>0</v>
      </c>
      <c r="J50" s="189">
        <v>620</v>
      </c>
      <c r="K50" s="189">
        <v>620</v>
      </c>
      <c r="L50" s="189">
        <v>0</v>
      </c>
      <c r="M50" s="189">
        <v>0</v>
      </c>
      <c r="N50" s="189">
        <v>0</v>
      </c>
      <c r="O50" s="189">
        <v>0</v>
      </c>
      <c r="P50" s="72" t="s">
        <v>378</v>
      </c>
      <c r="Q50" s="169" t="s">
        <v>242</v>
      </c>
      <c r="R50" s="169">
        <v>1280</v>
      </c>
      <c r="S50" s="169">
        <v>1348</v>
      </c>
      <c r="T50" s="169">
        <f t="shared" ref="T50" si="21">S50/R50*100-100</f>
        <v>5.3125000000000142</v>
      </c>
      <c r="U50" s="170" t="s">
        <v>418</v>
      </c>
    </row>
    <row r="51" spans="1:27" ht="362.25" customHeight="1" x14ac:dyDescent="0.5">
      <c r="A51" s="265" t="s">
        <v>289</v>
      </c>
      <c r="B51" s="260">
        <f>B53</f>
        <v>170000</v>
      </c>
      <c r="C51" s="254">
        <f t="shared" ref="C51" si="22">C53</f>
        <v>170000</v>
      </c>
      <c r="D51" s="254">
        <f>F51+H51+J51+L51+N51</f>
        <v>259861.36944000001</v>
      </c>
      <c r="E51" s="254">
        <f>G51+I51+K51+M51+O51</f>
        <v>259861.367</v>
      </c>
      <c r="F51" s="254">
        <f>F53</f>
        <v>121372.21995</v>
      </c>
      <c r="G51" s="254">
        <f t="shared" ref="G51:O51" si="23">G53</f>
        <v>121372.21795000001</v>
      </c>
      <c r="H51" s="254">
        <f t="shared" si="23"/>
        <v>0</v>
      </c>
      <c r="I51" s="254">
        <f t="shared" si="23"/>
        <v>0</v>
      </c>
      <c r="J51" s="254">
        <f t="shared" si="23"/>
        <v>26642.682489999999</v>
      </c>
      <c r="K51" s="254">
        <f t="shared" si="23"/>
        <v>26642.682049999999</v>
      </c>
      <c r="L51" s="254">
        <f t="shared" si="23"/>
        <v>0</v>
      </c>
      <c r="M51" s="254">
        <f t="shared" si="23"/>
        <v>0</v>
      </c>
      <c r="N51" s="254">
        <f t="shared" si="23"/>
        <v>111846.467</v>
      </c>
      <c r="O51" s="254">
        <f t="shared" si="23"/>
        <v>111846.467</v>
      </c>
      <c r="P51" s="80" t="s">
        <v>346</v>
      </c>
      <c r="Q51" s="169" t="s">
        <v>242</v>
      </c>
      <c r="R51" s="169">
        <v>6</v>
      </c>
      <c r="S51" s="169">
        <v>12.6</v>
      </c>
      <c r="T51" s="169">
        <f>S51-R51</f>
        <v>6.6</v>
      </c>
      <c r="U51" s="170" t="s">
        <v>418</v>
      </c>
      <c r="V51" s="82" t="s">
        <v>425</v>
      </c>
    </row>
    <row r="52" spans="1:27" ht="225" customHeight="1" x14ac:dyDescent="0.5">
      <c r="A52" s="265"/>
      <c r="B52" s="260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80" t="s">
        <v>347</v>
      </c>
      <c r="Q52" s="149" t="s">
        <v>242</v>
      </c>
      <c r="R52" s="149">
        <v>8</v>
      </c>
      <c r="S52" s="169">
        <v>41.31</v>
      </c>
      <c r="T52" s="169">
        <f>S52-R52</f>
        <v>33.31</v>
      </c>
      <c r="U52" s="170" t="s">
        <v>418</v>
      </c>
      <c r="V52" s="82" t="s">
        <v>425</v>
      </c>
    </row>
    <row r="53" spans="1:27" ht="150" customHeight="1" x14ac:dyDescent="0.5">
      <c r="A53" s="214" t="s">
        <v>364</v>
      </c>
      <c r="B53" s="166">
        <f>B54</f>
        <v>170000</v>
      </c>
      <c r="C53" s="167">
        <f>C54</f>
        <v>170000</v>
      </c>
      <c r="D53" s="167">
        <f>F53+H53+J53+L53+N53</f>
        <v>259861.36944000001</v>
      </c>
      <c r="E53" s="167">
        <f>G53+I53+K53+M53+O53</f>
        <v>259861.367</v>
      </c>
      <c r="F53" s="167">
        <f t="shared" ref="F53:O53" si="24">F54</f>
        <v>121372.21995</v>
      </c>
      <c r="G53" s="167">
        <f t="shared" si="24"/>
        <v>121372.21795000001</v>
      </c>
      <c r="H53" s="167">
        <f t="shared" si="24"/>
        <v>0</v>
      </c>
      <c r="I53" s="167">
        <f t="shared" si="24"/>
        <v>0</v>
      </c>
      <c r="J53" s="167">
        <f t="shared" si="24"/>
        <v>26642.682489999999</v>
      </c>
      <c r="K53" s="167">
        <f t="shared" si="24"/>
        <v>26642.682049999999</v>
      </c>
      <c r="L53" s="167">
        <f t="shared" si="24"/>
        <v>0</v>
      </c>
      <c r="M53" s="167">
        <f t="shared" si="24"/>
        <v>0</v>
      </c>
      <c r="N53" s="167">
        <f t="shared" si="24"/>
        <v>111846.467</v>
      </c>
      <c r="O53" s="167">
        <f t="shared" si="24"/>
        <v>111846.467</v>
      </c>
      <c r="P53" s="72" t="s">
        <v>348</v>
      </c>
      <c r="Q53" s="169" t="s">
        <v>242</v>
      </c>
      <c r="R53" s="169">
        <v>8</v>
      </c>
      <c r="S53" s="169">
        <f>S54+S55</f>
        <v>10</v>
      </c>
      <c r="T53" s="169">
        <f t="shared" ref="T53:T55" si="25">S53/R53*100-100</f>
        <v>25</v>
      </c>
      <c r="U53" s="176" t="s">
        <v>418</v>
      </c>
    </row>
    <row r="54" spans="1:27" ht="150" customHeight="1" x14ac:dyDescent="0.5">
      <c r="A54" s="261" t="s">
        <v>365</v>
      </c>
      <c r="B54" s="290">
        <v>170000</v>
      </c>
      <c r="C54" s="257">
        <v>170000</v>
      </c>
      <c r="D54" s="257">
        <f>F54+H54+J54+L54+N54</f>
        <v>259861.36944000001</v>
      </c>
      <c r="E54" s="257">
        <f>G54+I54+K54+M54+O54</f>
        <v>259861.367</v>
      </c>
      <c r="F54" s="257">
        <v>121372.21995</v>
      </c>
      <c r="G54" s="257">
        <v>121372.21795000001</v>
      </c>
      <c r="H54" s="257">
        <v>0</v>
      </c>
      <c r="I54" s="257">
        <v>0</v>
      </c>
      <c r="J54" s="257">
        <v>26642.682489999999</v>
      </c>
      <c r="K54" s="257">
        <v>26642.682049999999</v>
      </c>
      <c r="L54" s="257">
        <v>0</v>
      </c>
      <c r="M54" s="257">
        <v>0</v>
      </c>
      <c r="N54" s="257">
        <v>111846.467</v>
      </c>
      <c r="O54" s="257">
        <v>111846.467</v>
      </c>
      <c r="P54" s="72" t="s">
        <v>349</v>
      </c>
      <c r="Q54" s="169" t="s">
        <v>242</v>
      </c>
      <c r="R54" s="169">
        <v>6</v>
      </c>
      <c r="S54" s="169">
        <v>8</v>
      </c>
      <c r="T54" s="169">
        <f t="shared" si="25"/>
        <v>33.333333333333314</v>
      </c>
      <c r="U54" s="176" t="s">
        <v>418</v>
      </c>
    </row>
    <row r="55" spans="1:27" ht="190.5" customHeight="1" x14ac:dyDescent="0.5">
      <c r="A55" s="262"/>
      <c r="B55" s="291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72" t="s">
        <v>350</v>
      </c>
      <c r="Q55" s="149" t="s">
        <v>242</v>
      </c>
      <c r="R55" s="149">
        <v>2</v>
      </c>
      <c r="S55" s="169">
        <v>2</v>
      </c>
      <c r="T55" s="169">
        <f t="shared" si="25"/>
        <v>0</v>
      </c>
      <c r="U55" s="176" t="s">
        <v>418</v>
      </c>
    </row>
    <row r="56" spans="1:27" ht="109.5" customHeight="1" x14ac:dyDescent="0.5">
      <c r="A56" s="214" t="s">
        <v>290</v>
      </c>
      <c r="B56" s="166">
        <f t="shared" ref="B56:O56" si="26">B57</f>
        <v>716.80000000000007</v>
      </c>
      <c r="C56" s="167">
        <f t="shared" si="26"/>
        <v>716.82947000000001</v>
      </c>
      <c r="D56" s="167">
        <f>F56+H56+J56+L56+N56</f>
        <v>1209712.4419499999</v>
      </c>
      <c r="E56" s="167">
        <f>G56+I56+K56+M56+O56</f>
        <v>1209646.9474800001</v>
      </c>
      <c r="F56" s="167">
        <f t="shared" si="26"/>
        <v>3.5416500000000002</v>
      </c>
      <c r="G56" s="167">
        <f t="shared" si="26"/>
        <v>3.5416500000000002</v>
      </c>
      <c r="H56" s="167">
        <f t="shared" si="26"/>
        <v>0</v>
      </c>
      <c r="I56" s="167">
        <f t="shared" si="26"/>
        <v>0</v>
      </c>
      <c r="J56" s="167">
        <f t="shared" si="26"/>
        <v>708.90030000000002</v>
      </c>
      <c r="K56" s="167">
        <f t="shared" si="26"/>
        <v>643.40583000000004</v>
      </c>
      <c r="L56" s="167">
        <f t="shared" si="26"/>
        <v>0</v>
      </c>
      <c r="M56" s="167">
        <f t="shared" si="26"/>
        <v>0</v>
      </c>
      <c r="N56" s="167">
        <f t="shared" si="26"/>
        <v>1209000</v>
      </c>
      <c r="O56" s="167">
        <f t="shared" si="26"/>
        <v>1209000</v>
      </c>
      <c r="P56" s="72" t="s">
        <v>270</v>
      </c>
      <c r="Q56" s="169">
        <v>0.8</v>
      </c>
      <c r="R56" s="169">
        <v>0.3</v>
      </c>
      <c r="S56" s="169">
        <v>0.3</v>
      </c>
      <c r="T56" s="169">
        <f>S56-R56</f>
        <v>0</v>
      </c>
      <c r="U56" s="176" t="s">
        <v>409</v>
      </c>
    </row>
    <row r="57" spans="1:27" ht="130.5" customHeight="1" x14ac:dyDescent="0.4">
      <c r="A57" s="265" t="s">
        <v>366</v>
      </c>
      <c r="B57" s="260">
        <f>B59+B60+B61</f>
        <v>716.80000000000007</v>
      </c>
      <c r="C57" s="254">
        <f>C59+C60+C61</f>
        <v>716.82947000000001</v>
      </c>
      <c r="D57" s="254">
        <f>F57+H57+J57+L57+N57</f>
        <v>1209712.4419499999</v>
      </c>
      <c r="E57" s="254">
        <f>G57+I57+K57+M57+O57</f>
        <v>1209646.9474800001</v>
      </c>
      <c r="F57" s="254">
        <f>F59+F60+F61</f>
        <v>3.5416500000000002</v>
      </c>
      <c r="G57" s="254">
        <f t="shared" ref="G57:O57" si="27">G59+G60+G61</f>
        <v>3.5416500000000002</v>
      </c>
      <c r="H57" s="254">
        <f t="shared" si="27"/>
        <v>0</v>
      </c>
      <c r="I57" s="254">
        <f t="shared" si="27"/>
        <v>0</v>
      </c>
      <c r="J57" s="254">
        <f t="shared" si="27"/>
        <v>708.90030000000002</v>
      </c>
      <c r="K57" s="254">
        <f t="shared" si="27"/>
        <v>643.40583000000004</v>
      </c>
      <c r="L57" s="254">
        <f t="shared" si="27"/>
        <v>0</v>
      </c>
      <c r="M57" s="254">
        <f t="shared" si="27"/>
        <v>0</v>
      </c>
      <c r="N57" s="254">
        <f t="shared" si="27"/>
        <v>1209000</v>
      </c>
      <c r="O57" s="254">
        <f t="shared" si="27"/>
        <v>1209000</v>
      </c>
      <c r="P57" s="72" t="s">
        <v>271</v>
      </c>
      <c r="Q57" s="169">
        <v>15.6</v>
      </c>
      <c r="R57" s="169">
        <v>24.2</v>
      </c>
      <c r="S57" s="169">
        <v>29.1</v>
      </c>
      <c r="T57" s="169">
        <f>S57/R57*100-100</f>
        <v>20.247933884297538</v>
      </c>
      <c r="U57" s="72" t="s">
        <v>418</v>
      </c>
      <c r="V57" s="93" t="s">
        <v>426</v>
      </c>
    </row>
    <row r="58" spans="1:27" ht="150.75" customHeight="1" x14ac:dyDescent="0.4">
      <c r="A58" s="265"/>
      <c r="B58" s="260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72" t="s">
        <v>356</v>
      </c>
      <c r="Q58" s="169" t="s">
        <v>242</v>
      </c>
      <c r="R58" s="169">
        <v>16.600000000000001</v>
      </c>
      <c r="S58" s="169">
        <v>24.4</v>
      </c>
      <c r="T58" s="169">
        <f>S58/R58*100-100</f>
        <v>46.98795180722891</v>
      </c>
      <c r="U58" s="72" t="s">
        <v>418</v>
      </c>
      <c r="V58" s="93" t="s">
        <v>426</v>
      </c>
    </row>
    <row r="59" spans="1:27" ht="148.5" customHeight="1" x14ac:dyDescent="0.4">
      <c r="A59" s="213" t="s">
        <v>247</v>
      </c>
      <c r="B59" s="169">
        <v>707.1</v>
      </c>
      <c r="C59" s="111">
        <v>707.12946999999997</v>
      </c>
      <c r="D59" s="111">
        <f t="shared" ref="D59:E62" si="28">F59+H59+J59+L59+N59</f>
        <v>707.12946999999997</v>
      </c>
      <c r="E59" s="111">
        <f t="shared" si="28"/>
        <v>641.63499999999999</v>
      </c>
      <c r="F59" s="111">
        <v>0</v>
      </c>
      <c r="G59" s="111">
        <v>0</v>
      </c>
      <c r="H59" s="111">
        <v>0</v>
      </c>
      <c r="I59" s="111">
        <v>0</v>
      </c>
      <c r="J59" s="111">
        <v>707.12946999999997</v>
      </c>
      <c r="K59" s="111">
        <v>641.63499999999999</v>
      </c>
      <c r="L59" s="111">
        <v>0</v>
      </c>
      <c r="M59" s="111">
        <v>0</v>
      </c>
      <c r="N59" s="111">
        <v>0</v>
      </c>
      <c r="O59" s="111">
        <v>0</v>
      </c>
      <c r="P59" s="72" t="s">
        <v>273</v>
      </c>
      <c r="Q59" s="169">
        <v>180.7</v>
      </c>
      <c r="R59" s="169">
        <v>30</v>
      </c>
      <c r="S59" s="169">
        <v>30</v>
      </c>
      <c r="T59" s="169">
        <f>S59/R59*100-100</f>
        <v>0</v>
      </c>
      <c r="U59" s="72" t="s">
        <v>418</v>
      </c>
      <c r="V59" s="281"/>
    </row>
    <row r="60" spans="1:27" ht="192" customHeight="1" x14ac:dyDescent="0.4">
      <c r="A60" s="213" t="s">
        <v>237</v>
      </c>
      <c r="B60" s="169">
        <v>9.6999999999999993</v>
      </c>
      <c r="C60" s="111">
        <v>9.6999999999999993</v>
      </c>
      <c r="D60" s="111">
        <f t="shared" si="28"/>
        <v>5.3124799999999999</v>
      </c>
      <c r="E60" s="111">
        <f t="shared" si="28"/>
        <v>5.3124799999999999</v>
      </c>
      <c r="F60" s="111">
        <v>3.5416500000000002</v>
      </c>
      <c r="G60" s="111">
        <v>3.5416500000000002</v>
      </c>
      <c r="H60" s="111">
        <v>0</v>
      </c>
      <c r="I60" s="111">
        <v>0</v>
      </c>
      <c r="J60" s="111">
        <v>1.7708299999999999</v>
      </c>
      <c r="K60" s="111">
        <v>1.7708299999999999</v>
      </c>
      <c r="L60" s="111">
        <v>0</v>
      </c>
      <c r="M60" s="111">
        <v>0</v>
      </c>
      <c r="N60" s="111">
        <v>0</v>
      </c>
      <c r="O60" s="111">
        <v>0</v>
      </c>
      <c r="P60" s="73" t="s">
        <v>272</v>
      </c>
      <c r="Q60" s="149" t="s">
        <v>242</v>
      </c>
      <c r="R60" s="162">
        <v>3.0000000000000001E-3</v>
      </c>
      <c r="S60" s="169">
        <v>0</v>
      </c>
      <c r="T60" s="169">
        <v>0</v>
      </c>
      <c r="U60" s="72" t="s">
        <v>410</v>
      </c>
      <c r="V60" s="281"/>
      <c r="AA60" s="89"/>
    </row>
    <row r="61" spans="1:27" ht="143.25" customHeight="1" x14ac:dyDescent="0.4">
      <c r="A61" s="213" t="s">
        <v>351</v>
      </c>
      <c r="B61" s="169">
        <v>0</v>
      </c>
      <c r="C61" s="111">
        <v>0</v>
      </c>
      <c r="D61" s="111">
        <f t="shared" si="28"/>
        <v>1209000</v>
      </c>
      <c r="E61" s="111">
        <f t="shared" si="28"/>
        <v>1209000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0</v>
      </c>
      <c r="L61" s="111">
        <v>0</v>
      </c>
      <c r="M61" s="111">
        <v>0</v>
      </c>
      <c r="N61" s="111">
        <v>1209000</v>
      </c>
      <c r="O61" s="111">
        <v>1209000</v>
      </c>
      <c r="P61" s="73" t="s">
        <v>352</v>
      </c>
      <c r="Q61" s="149" t="s">
        <v>242</v>
      </c>
      <c r="R61" s="149">
        <v>92</v>
      </c>
      <c r="S61" s="169">
        <v>92</v>
      </c>
      <c r="T61" s="169">
        <f>S61/R61*100-100</f>
        <v>0</v>
      </c>
      <c r="U61" s="176" t="s">
        <v>418</v>
      </c>
      <c r="V61" s="123"/>
      <c r="AA61" s="89">
        <f>SUM(Z19:Z61)</f>
        <v>0</v>
      </c>
    </row>
    <row r="62" spans="1:27" s="96" customFormat="1" ht="87" customHeight="1" x14ac:dyDescent="0.5">
      <c r="A62" s="207" t="s">
        <v>276</v>
      </c>
      <c r="B62" s="166">
        <f>B19+B35+B51+B56</f>
        <v>642586.10000000009</v>
      </c>
      <c r="C62" s="167">
        <f>C19+C35+C51+C56</f>
        <v>642451.36170000001</v>
      </c>
      <c r="D62" s="167">
        <f>D19+D35+D51+D56</f>
        <v>1912529.49046</v>
      </c>
      <c r="E62" s="167">
        <f t="shared" si="28"/>
        <v>1910378.05326</v>
      </c>
      <c r="F62" s="167">
        <f t="shared" ref="F62:O62" si="29">F19+F35+F51+F56</f>
        <v>447166.17611000006</v>
      </c>
      <c r="G62" s="167">
        <f t="shared" si="29"/>
        <v>445455.79576000007</v>
      </c>
      <c r="H62" s="167">
        <f t="shared" si="29"/>
        <v>0</v>
      </c>
      <c r="I62" s="167">
        <f t="shared" si="29"/>
        <v>0</v>
      </c>
      <c r="J62" s="167">
        <f t="shared" si="29"/>
        <v>144516.84735000003</v>
      </c>
      <c r="K62" s="167">
        <f t="shared" si="29"/>
        <v>144075.7905</v>
      </c>
      <c r="L62" s="167">
        <f t="shared" si="29"/>
        <v>0</v>
      </c>
      <c r="M62" s="167">
        <f t="shared" si="29"/>
        <v>0</v>
      </c>
      <c r="N62" s="167">
        <f t="shared" si="29"/>
        <v>1320846.4669999999</v>
      </c>
      <c r="O62" s="167">
        <f t="shared" si="29"/>
        <v>1320846.4669999999</v>
      </c>
      <c r="P62" s="73"/>
      <c r="Q62" s="149"/>
      <c r="R62" s="150"/>
      <c r="S62" s="150"/>
      <c r="T62" s="138"/>
      <c r="U62" s="115"/>
      <c r="V62" s="94"/>
      <c r="W62" s="84"/>
      <c r="X62" s="84"/>
      <c r="Y62" s="84"/>
      <c r="Z62" s="95"/>
    </row>
    <row r="63" spans="1:27" s="88" customFormat="1" ht="36" customHeight="1" x14ac:dyDescent="0.45">
      <c r="A63" s="207" t="s">
        <v>246</v>
      </c>
      <c r="B63" s="169">
        <v>0</v>
      </c>
      <c r="C63" s="167">
        <v>0</v>
      </c>
      <c r="D63" s="167">
        <v>0</v>
      </c>
      <c r="E63" s="167">
        <v>0</v>
      </c>
      <c r="F63" s="167">
        <v>0</v>
      </c>
      <c r="G63" s="167">
        <v>0</v>
      </c>
      <c r="H63" s="167">
        <v>0</v>
      </c>
      <c r="I63" s="167">
        <v>0</v>
      </c>
      <c r="J63" s="167">
        <v>0</v>
      </c>
      <c r="K63" s="167">
        <v>0</v>
      </c>
      <c r="L63" s="167">
        <v>0</v>
      </c>
      <c r="M63" s="167">
        <v>0</v>
      </c>
      <c r="N63" s="167">
        <v>0</v>
      </c>
      <c r="O63" s="167">
        <v>0</v>
      </c>
      <c r="P63" s="74"/>
      <c r="Q63" s="151"/>
      <c r="R63" s="152"/>
      <c r="S63" s="152"/>
      <c r="T63" s="148"/>
      <c r="U63" s="116"/>
      <c r="V63" s="87"/>
      <c r="W63" s="84"/>
      <c r="X63" s="84"/>
      <c r="Y63" s="84"/>
      <c r="Z63" s="89"/>
    </row>
    <row r="64" spans="1:27" s="88" customFormat="1" ht="200.25" customHeight="1" x14ac:dyDescent="0.4">
      <c r="A64" s="207" t="s">
        <v>329</v>
      </c>
      <c r="B64" s="166">
        <f>B79</f>
        <v>138308.79999999999</v>
      </c>
      <c r="C64" s="167">
        <f t="shared" ref="C64:O64" si="30">C66</f>
        <v>138308.7561</v>
      </c>
      <c r="D64" s="167">
        <f t="shared" si="30"/>
        <v>713557.37115999998</v>
      </c>
      <c r="E64" s="167">
        <f t="shared" si="30"/>
        <v>713454.17999999993</v>
      </c>
      <c r="F64" s="167">
        <f t="shared" si="30"/>
        <v>112430</v>
      </c>
      <c r="G64" s="167">
        <f t="shared" si="30"/>
        <v>112345.38327000001</v>
      </c>
      <c r="H64" s="167">
        <f t="shared" si="30"/>
        <v>186827.88</v>
      </c>
      <c r="I64" s="167">
        <f t="shared" si="30"/>
        <v>186827.88</v>
      </c>
      <c r="J64" s="167">
        <f t="shared" si="30"/>
        <v>24679.756099999999</v>
      </c>
      <c r="K64" s="167">
        <f t="shared" si="30"/>
        <v>24661.181669999998</v>
      </c>
      <c r="L64" s="167">
        <f t="shared" si="30"/>
        <v>0</v>
      </c>
      <c r="M64" s="167">
        <f t="shared" si="30"/>
        <v>0</v>
      </c>
      <c r="N64" s="167">
        <f t="shared" si="30"/>
        <v>389619.73505999998</v>
      </c>
      <c r="O64" s="167">
        <f t="shared" si="30"/>
        <v>389619.73505999998</v>
      </c>
      <c r="P64" s="73" t="s">
        <v>315</v>
      </c>
      <c r="Q64" s="149" t="s">
        <v>242</v>
      </c>
      <c r="R64" s="149">
        <v>109</v>
      </c>
      <c r="S64" s="149">
        <v>178</v>
      </c>
      <c r="T64" s="169">
        <f>S64-R64</f>
        <v>69</v>
      </c>
      <c r="U64" s="72" t="s">
        <v>418</v>
      </c>
      <c r="V64" s="97"/>
      <c r="W64" s="84"/>
      <c r="X64" s="84"/>
      <c r="Y64" s="84"/>
      <c r="Z64" s="84"/>
    </row>
    <row r="65" spans="1:27" s="88" customFormat="1" ht="27" customHeight="1" x14ac:dyDescent="0.45">
      <c r="A65" s="259" t="s">
        <v>90</v>
      </c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87"/>
      <c r="W65" s="84"/>
      <c r="X65" s="84"/>
      <c r="Y65" s="89"/>
      <c r="Z65" s="89"/>
    </row>
    <row r="66" spans="1:27" s="88" customFormat="1" ht="240" customHeight="1" x14ac:dyDescent="0.45">
      <c r="A66" s="215" t="s">
        <v>291</v>
      </c>
      <c r="B66" s="166">
        <f>B67</f>
        <v>138308.79999999999</v>
      </c>
      <c r="C66" s="167">
        <f t="shared" ref="C66:O66" si="31">C67</f>
        <v>138308.7561</v>
      </c>
      <c r="D66" s="167">
        <f t="shared" si="31"/>
        <v>713557.37115999998</v>
      </c>
      <c r="E66" s="167">
        <f t="shared" si="31"/>
        <v>713454.17999999993</v>
      </c>
      <c r="F66" s="167">
        <f t="shared" si="31"/>
        <v>112430</v>
      </c>
      <c r="G66" s="167">
        <f t="shared" si="31"/>
        <v>112345.38327000001</v>
      </c>
      <c r="H66" s="167">
        <f t="shared" si="31"/>
        <v>186827.88</v>
      </c>
      <c r="I66" s="167">
        <f t="shared" si="31"/>
        <v>186827.88</v>
      </c>
      <c r="J66" s="167">
        <f t="shared" si="31"/>
        <v>24679.756099999999</v>
      </c>
      <c r="K66" s="167">
        <f t="shared" si="31"/>
        <v>24661.181669999998</v>
      </c>
      <c r="L66" s="167">
        <f t="shared" si="31"/>
        <v>0</v>
      </c>
      <c r="M66" s="167">
        <f t="shared" si="31"/>
        <v>0</v>
      </c>
      <c r="N66" s="167">
        <f t="shared" si="31"/>
        <v>389619.73505999998</v>
      </c>
      <c r="O66" s="167">
        <f t="shared" si="31"/>
        <v>389619.73505999998</v>
      </c>
      <c r="P66" s="73" t="s">
        <v>353</v>
      </c>
      <c r="Q66" s="149" t="s">
        <v>242</v>
      </c>
      <c r="R66" s="149">
        <v>26.2</v>
      </c>
      <c r="S66" s="149">
        <f>23.2+S68</f>
        <v>26.25</v>
      </c>
      <c r="T66" s="169">
        <f>S66/R66*100-100</f>
        <v>0.19083969465650341</v>
      </c>
      <c r="U66" s="127" t="s">
        <v>418</v>
      </c>
      <c r="V66" s="87"/>
      <c r="W66" s="84"/>
      <c r="X66" s="84"/>
      <c r="Y66" s="84"/>
      <c r="Z66" s="84"/>
    </row>
    <row r="67" spans="1:27" s="88" customFormat="1" ht="267" customHeight="1" x14ac:dyDescent="0.45">
      <c r="A67" s="215" t="s">
        <v>292</v>
      </c>
      <c r="B67" s="166">
        <f>B68+B69+B76+B77+B78</f>
        <v>138308.79999999999</v>
      </c>
      <c r="C67" s="167">
        <f t="shared" ref="C67:O67" si="32">C68+C69+C76+C77+C78</f>
        <v>138308.7561</v>
      </c>
      <c r="D67" s="167">
        <f t="shared" ref="D67:E79" si="33">F67+H67+J67+L67+N67</f>
        <v>713557.37115999998</v>
      </c>
      <c r="E67" s="167">
        <f t="shared" si="33"/>
        <v>713454.17999999993</v>
      </c>
      <c r="F67" s="167">
        <f t="shared" si="32"/>
        <v>112430</v>
      </c>
      <c r="G67" s="167">
        <f t="shared" si="32"/>
        <v>112345.38327000001</v>
      </c>
      <c r="H67" s="167">
        <f t="shared" si="32"/>
        <v>186827.88</v>
      </c>
      <c r="I67" s="167">
        <f t="shared" si="32"/>
        <v>186827.88</v>
      </c>
      <c r="J67" s="167">
        <f t="shared" si="32"/>
        <v>24679.756099999999</v>
      </c>
      <c r="K67" s="167">
        <f t="shared" si="32"/>
        <v>24661.181669999998</v>
      </c>
      <c r="L67" s="167">
        <f t="shared" si="32"/>
        <v>0</v>
      </c>
      <c r="M67" s="167">
        <f t="shared" si="32"/>
        <v>0</v>
      </c>
      <c r="N67" s="167">
        <f t="shared" si="32"/>
        <v>389619.73505999998</v>
      </c>
      <c r="O67" s="167">
        <f t="shared" si="32"/>
        <v>389619.73505999998</v>
      </c>
      <c r="P67" s="73" t="s">
        <v>354</v>
      </c>
      <c r="Q67" s="149" t="s">
        <v>242</v>
      </c>
      <c r="R67" s="149">
        <v>39.049999999999997</v>
      </c>
      <c r="S67" s="149">
        <f>35.8+S68+S78</f>
        <v>39.179999999999993</v>
      </c>
      <c r="T67" s="169">
        <f>S67/R67*100-100</f>
        <v>0.33290653008961613</v>
      </c>
      <c r="U67" s="127" t="s">
        <v>418</v>
      </c>
      <c r="V67" s="87"/>
      <c r="W67" s="84"/>
      <c r="X67" s="84"/>
      <c r="Y67" s="84"/>
      <c r="Z67" s="84"/>
    </row>
    <row r="68" spans="1:27" s="88" customFormat="1" ht="327.75" customHeight="1" x14ac:dyDescent="0.45">
      <c r="A68" s="216" t="s">
        <v>293</v>
      </c>
      <c r="B68" s="169">
        <v>134650</v>
      </c>
      <c r="C68" s="111">
        <f>110413+24237</f>
        <v>134650</v>
      </c>
      <c r="D68" s="111">
        <f t="shared" si="33"/>
        <v>518994.04116999998</v>
      </c>
      <c r="E68" s="111">
        <f t="shared" si="33"/>
        <v>518890.85</v>
      </c>
      <c r="F68" s="111">
        <v>110413</v>
      </c>
      <c r="G68" s="111">
        <v>110328.38326</v>
      </c>
      <c r="H68" s="111">
        <v>0</v>
      </c>
      <c r="I68" s="111">
        <v>0</v>
      </c>
      <c r="J68" s="111">
        <f>24236.99558+0.00443</f>
        <v>24237.00001</v>
      </c>
      <c r="K68" s="111">
        <v>24218.425579999999</v>
      </c>
      <c r="L68" s="111">
        <v>0</v>
      </c>
      <c r="M68" s="111">
        <v>0</v>
      </c>
      <c r="N68" s="111">
        <v>384344.04115999996</v>
      </c>
      <c r="O68" s="111">
        <v>384344.04115999996</v>
      </c>
      <c r="P68" s="75" t="s">
        <v>328</v>
      </c>
      <c r="Q68" s="149">
        <v>1</v>
      </c>
      <c r="R68" s="149">
        <v>2.95</v>
      </c>
      <c r="S68" s="149">
        <v>3.05</v>
      </c>
      <c r="T68" s="169">
        <f>S68/R68*100-100</f>
        <v>3.3898305084745743</v>
      </c>
      <c r="U68" s="127" t="s">
        <v>418</v>
      </c>
      <c r="V68" s="87"/>
      <c r="W68" s="84"/>
      <c r="X68" s="84"/>
      <c r="Y68" s="84"/>
      <c r="Z68" s="84"/>
    </row>
    <row r="69" spans="1:27" s="88" customFormat="1" ht="185.25" customHeight="1" x14ac:dyDescent="0.4">
      <c r="A69" s="216" t="s">
        <v>294</v>
      </c>
      <c r="B69" s="169">
        <v>0</v>
      </c>
      <c r="C69" s="111">
        <v>0</v>
      </c>
      <c r="D69" s="111">
        <f t="shared" si="33"/>
        <v>185462.58000000002</v>
      </c>
      <c r="E69" s="111">
        <f t="shared" si="33"/>
        <v>185462.58000000002</v>
      </c>
      <c r="F69" s="111">
        <f>F75</f>
        <v>0</v>
      </c>
      <c r="G69" s="111">
        <f t="shared" ref="G69:O69" si="34">G75</f>
        <v>0</v>
      </c>
      <c r="H69" s="111">
        <f>H75</f>
        <v>185462.58000000002</v>
      </c>
      <c r="I69" s="111">
        <f t="shared" si="34"/>
        <v>185462.58000000002</v>
      </c>
      <c r="J69" s="111">
        <f t="shared" si="34"/>
        <v>0</v>
      </c>
      <c r="K69" s="111">
        <f t="shared" si="34"/>
        <v>0</v>
      </c>
      <c r="L69" s="111">
        <f t="shared" si="34"/>
        <v>0</v>
      </c>
      <c r="M69" s="111">
        <f t="shared" si="34"/>
        <v>0</v>
      </c>
      <c r="N69" s="111">
        <f t="shared" si="34"/>
        <v>0</v>
      </c>
      <c r="O69" s="111">
        <f t="shared" si="34"/>
        <v>0</v>
      </c>
      <c r="P69" s="75" t="s">
        <v>316</v>
      </c>
      <c r="Q69" s="149" t="s">
        <v>242</v>
      </c>
      <c r="R69" s="149">
        <v>4509</v>
      </c>
      <c r="S69" s="149">
        <v>4509</v>
      </c>
      <c r="T69" s="169">
        <f>S69/R69*100-100</f>
        <v>0</v>
      </c>
      <c r="U69" s="127" t="s">
        <v>435</v>
      </c>
      <c r="V69" s="160" t="s">
        <v>427</v>
      </c>
      <c r="W69" s="84"/>
      <c r="X69" s="84"/>
      <c r="Y69" s="84"/>
      <c r="Z69" s="84"/>
    </row>
    <row r="70" spans="1:27" s="88" customFormat="1" ht="31.5" customHeight="1" x14ac:dyDescent="0.45">
      <c r="A70" s="216" t="s">
        <v>387</v>
      </c>
      <c r="B70" s="138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75"/>
      <c r="Q70" s="149"/>
      <c r="R70" s="149"/>
      <c r="S70" s="150"/>
      <c r="T70" s="169"/>
      <c r="U70" s="115"/>
      <c r="V70" s="87"/>
      <c r="W70" s="84"/>
      <c r="X70" s="84"/>
      <c r="Y70" s="84"/>
      <c r="Z70" s="84"/>
    </row>
    <row r="71" spans="1:27" s="88" customFormat="1" ht="165" customHeight="1" x14ac:dyDescent="0.45">
      <c r="A71" s="216" t="s">
        <v>388</v>
      </c>
      <c r="B71" s="169">
        <v>0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1">
        <v>0</v>
      </c>
      <c r="P71" s="75" t="s">
        <v>316</v>
      </c>
      <c r="Q71" s="149" t="s">
        <v>242</v>
      </c>
      <c r="R71" s="149">
        <v>4509</v>
      </c>
      <c r="S71" s="149">
        <v>4509</v>
      </c>
      <c r="T71" s="169">
        <f>S71/R71*100-100</f>
        <v>0</v>
      </c>
      <c r="U71" s="127" t="s">
        <v>401</v>
      </c>
      <c r="V71" s="87"/>
      <c r="W71" s="84"/>
      <c r="X71" s="84"/>
      <c r="Y71" s="84"/>
      <c r="Z71" s="84"/>
    </row>
    <row r="72" spans="1:27" s="88" customFormat="1" ht="143.25" customHeight="1" x14ac:dyDescent="0.45">
      <c r="A72" s="216" t="s">
        <v>406</v>
      </c>
      <c r="B72" s="169">
        <v>0</v>
      </c>
      <c r="C72" s="111">
        <v>0</v>
      </c>
      <c r="D72" s="111">
        <f t="shared" ref="D72:E74" si="35">F72+H72+J72+L72+N72</f>
        <v>40259.85</v>
      </c>
      <c r="E72" s="111">
        <f t="shared" si="35"/>
        <v>40259.85</v>
      </c>
      <c r="F72" s="111">
        <v>0</v>
      </c>
      <c r="G72" s="111">
        <v>0</v>
      </c>
      <c r="H72" s="111">
        <v>40259.85</v>
      </c>
      <c r="I72" s="111">
        <v>40259.85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75" t="s">
        <v>316</v>
      </c>
      <c r="Q72" s="149" t="s">
        <v>242</v>
      </c>
      <c r="R72" s="149" t="s">
        <v>242</v>
      </c>
      <c r="S72" s="149" t="s">
        <v>397</v>
      </c>
      <c r="T72" s="169" t="s">
        <v>52</v>
      </c>
      <c r="U72" s="127" t="s">
        <v>400</v>
      </c>
      <c r="V72" s="87"/>
      <c r="W72" s="84"/>
      <c r="X72" s="84"/>
      <c r="Y72" s="84"/>
      <c r="Z72" s="84"/>
    </row>
    <row r="73" spans="1:27" s="88" customFormat="1" ht="121.5" customHeight="1" x14ac:dyDescent="0.45">
      <c r="A73" s="216" t="s">
        <v>398</v>
      </c>
      <c r="B73" s="169">
        <v>0</v>
      </c>
      <c r="C73" s="111">
        <v>0</v>
      </c>
      <c r="D73" s="111">
        <f t="shared" si="35"/>
        <v>45202.73</v>
      </c>
      <c r="E73" s="111">
        <f t="shared" si="35"/>
        <v>45202.73</v>
      </c>
      <c r="F73" s="111">
        <v>0</v>
      </c>
      <c r="G73" s="111">
        <v>0</v>
      </c>
      <c r="H73" s="111">
        <v>45202.73</v>
      </c>
      <c r="I73" s="111">
        <v>45202.73</v>
      </c>
      <c r="J73" s="111">
        <v>0</v>
      </c>
      <c r="K73" s="111">
        <v>0</v>
      </c>
      <c r="L73" s="111">
        <v>0</v>
      </c>
      <c r="M73" s="111">
        <v>0</v>
      </c>
      <c r="N73" s="111">
        <v>0</v>
      </c>
      <c r="O73" s="111">
        <v>0</v>
      </c>
      <c r="P73" s="75" t="s">
        <v>316</v>
      </c>
      <c r="Q73" s="149" t="s">
        <v>242</v>
      </c>
      <c r="R73" s="149" t="s">
        <v>242</v>
      </c>
      <c r="S73" s="149" t="s">
        <v>397</v>
      </c>
      <c r="T73" s="149" t="s">
        <v>397</v>
      </c>
      <c r="U73" s="127" t="s">
        <v>400</v>
      </c>
      <c r="V73" s="87"/>
      <c r="W73" s="84"/>
      <c r="X73" s="84"/>
      <c r="Y73" s="84"/>
      <c r="Z73" s="84"/>
    </row>
    <row r="74" spans="1:27" s="88" customFormat="1" ht="107.25" customHeight="1" x14ac:dyDescent="0.45">
      <c r="A74" s="216" t="s">
        <v>399</v>
      </c>
      <c r="B74" s="169">
        <v>0</v>
      </c>
      <c r="C74" s="111">
        <v>0</v>
      </c>
      <c r="D74" s="111">
        <f t="shared" si="35"/>
        <v>100000</v>
      </c>
      <c r="E74" s="111">
        <f t="shared" si="35"/>
        <v>100000</v>
      </c>
      <c r="F74" s="111">
        <v>0</v>
      </c>
      <c r="G74" s="111">
        <v>0</v>
      </c>
      <c r="H74" s="111">
        <v>100000</v>
      </c>
      <c r="I74" s="111">
        <v>100000</v>
      </c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75" t="s">
        <v>316</v>
      </c>
      <c r="Q74" s="149" t="s">
        <v>242</v>
      </c>
      <c r="R74" s="149" t="s">
        <v>242</v>
      </c>
      <c r="S74" s="149" t="s">
        <v>397</v>
      </c>
      <c r="T74" s="149" t="s">
        <v>397</v>
      </c>
      <c r="U74" s="127" t="s">
        <v>400</v>
      </c>
      <c r="V74" s="87"/>
      <c r="W74" s="84"/>
      <c r="X74" s="84"/>
      <c r="Y74" s="84"/>
      <c r="Z74" s="84"/>
    </row>
    <row r="75" spans="1:27" s="88" customFormat="1" ht="46.5" customHeight="1" x14ac:dyDescent="0.45">
      <c r="A75" s="217" t="s">
        <v>306</v>
      </c>
      <c r="B75" s="139">
        <v>0</v>
      </c>
      <c r="C75" s="190">
        <v>0</v>
      </c>
      <c r="D75" s="111">
        <f>SUM(D71:D74)</f>
        <v>185462.58000000002</v>
      </c>
      <c r="E75" s="111">
        <f>SUM(E71:E74)</f>
        <v>185462.58000000002</v>
      </c>
      <c r="F75" s="111">
        <f t="shared" ref="F75:O75" si="36">SUM(F71:F74)</f>
        <v>0</v>
      </c>
      <c r="G75" s="111">
        <f t="shared" si="36"/>
        <v>0</v>
      </c>
      <c r="H75" s="111">
        <f t="shared" si="36"/>
        <v>185462.58000000002</v>
      </c>
      <c r="I75" s="111">
        <f t="shared" si="36"/>
        <v>185462.58000000002</v>
      </c>
      <c r="J75" s="111">
        <f t="shared" si="36"/>
        <v>0</v>
      </c>
      <c r="K75" s="111">
        <f t="shared" si="36"/>
        <v>0</v>
      </c>
      <c r="L75" s="111">
        <f t="shared" si="36"/>
        <v>0</v>
      </c>
      <c r="M75" s="111">
        <f t="shared" si="36"/>
        <v>0</v>
      </c>
      <c r="N75" s="111">
        <f t="shared" si="36"/>
        <v>0</v>
      </c>
      <c r="O75" s="111">
        <f t="shared" si="36"/>
        <v>0</v>
      </c>
      <c r="P75" s="75"/>
      <c r="Q75" s="149"/>
      <c r="R75" s="149"/>
      <c r="S75" s="150"/>
      <c r="T75" s="169"/>
      <c r="U75" s="115"/>
      <c r="V75" s="87"/>
      <c r="W75" s="84"/>
      <c r="X75" s="84"/>
      <c r="Y75" s="84"/>
      <c r="Z75" s="84"/>
    </row>
    <row r="76" spans="1:27" s="88" customFormat="1" ht="270" customHeight="1" x14ac:dyDescent="0.45">
      <c r="A76" s="216" t="s">
        <v>295</v>
      </c>
      <c r="B76" s="169">
        <v>0</v>
      </c>
      <c r="C76" s="111">
        <v>0</v>
      </c>
      <c r="D76" s="111">
        <f t="shared" si="33"/>
        <v>1365.3</v>
      </c>
      <c r="E76" s="111">
        <f t="shared" si="33"/>
        <v>1365.3</v>
      </c>
      <c r="F76" s="111">
        <v>0</v>
      </c>
      <c r="G76" s="111">
        <v>0</v>
      </c>
      <c r="H76" s="111">
        <v>1365.3</v>
      </c>
      <c r="I76" s="111">
        <v>1365.3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75" t="s">
        <v>437</v>
      </c>
      <c r="Q76" s="149">
        <v>1.6</v>
      </c>
      <c r="R76" s="149">
        <v>4.4000000000000004</v>
      </c>
      <c r="S76" s="149">
        <v>4.4000000000000004</v>
      </c>
      <c r="T76" s="169">
        <f>S76/R76*100-100</f>
        <v>0</v>
      </c>
      <c r="U76" s="127" t="s">
        <v>428</v>
      </c>
      <c r="V76" s="87"/>
      <c r="W76" s="84"/>
      <c r="X76" s="84"/>
      <c r="Y76" s="84"/>
      <c r="Z76" s="84"/>
    </row>
    <row r="77" spans="1:27" s="88" customFormat="1" ht="178.5" customHeight="1" x14ac:dyDescent="0.4">
      <c r="A77" s="216" t="s">
        <v>297</v>
      </c>
      <c r="B77" s="169">
        <v>1199</v>
      </c>
      <c r="C77" s="111">
        <v>1199</v>
      </c>
      <c r="D77" s="111">
        <f t="shared" si="33"/>
        <v>0</v>
      </c>
      <c r="E77" s="111">
        <f t="shared" si="33"/>
        <v>0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11">
        <v>0</v>
      </c>
      <c r="O77" s="111">
        <v>0</v>
      </c>
      <c r="P77" s="110" t="s">
        <v>362</v>
      </c>
      <c r="Q77" s="149" t="s">
        <v>242</v>
      </c>
      <c r="R77" s="149">
        <v>0</v>
      </c>
      <c r="S77" s="149">
        <v>0</v>
      </c>
      <c r="T77" s="169" t="s">
        <v>52</v>
      </c>
      <c r="U77" s="127"/>
      <c r="V77" s="161" t="s">
        <v>429</v>
      </c>
      <c r="W77" s="84"/>
      <c r="X77" s="84"/>
      <c r="Y77" s="84"/>
      <c r="Z77" s="84"/>
    </row>
    <row r="78" spans="1:27" s="88" customFormat="1" ht="175.5" customHeight="1" x14ac:dyDescent="0.45">
      <c r="A78" s="216" t="s">
        <v>330</v>
      </c>
      <c r="B78" s="169">
        <v>2459.8000000000002</v>
      </c>
      <c r="C78" s="111">
        <f>2017+442.7561</f>
        <v>2459.7561000000001</v>
      </c>
      <c r="D78" s="111">
        <f t="shared" si="33"/>
        <v>7735.4499900000001</v>
      </c>
      <c r="E78" s="111">
        <f t="shared" si="33"/>
        <v>7735.4500000000007</v>
      </c>
      <c r="F78" s="111">
        <v>2017</v>
      </c>
      <c r="G78" s="111">
        <v>2017.00001</v>
      </c>
      <c r="H78" s="111">
        <v>0</v>
      </c>
      <c r="I78" s="111">
        <v>0</v>
      </c>
      <c r="J78" s="111">
        <v>442.75608999999997</v>
      </c>
      <c r="K78" s="111">
        <v>442.75608999999997</v>
      </c>
      <c r="L78" s="111">
        <v>0</v>
      </c>
      <c r="M78" s="111">
        <v>0</v>
      </c>
      <c r="N78" s="111">
        <v>5275.6939000000002</v>
      </c>
      <c r="O78" s="111">
        <v>5275.6939000000002</v>
      </c>
      <c r="P78" s="110" t="s">
        <v>357</v>
      </c>
      <c r="Q78" s="149">
        <v>0.3</v>
      </c>
      <c r="R78" s="149">
        <v>0.3</v>
      </c>
      <c r="S78" s="149">
        <v>0.33</v>
      </c>
      <c r="T78" s="169">
        <f>S78/R78*100-100</f>
        <v>10.000000000000014</v>
      </c>
      <c r="U78" s="127" t="s">
        <v>418</v>
      </c>
      <c r="V78" s="87"/>
      <c r="W78" s="84"/>
      <c r="X78" s="84"/>
      <c r="Y78" s="84"/>
      <c r="Z78" s="84"/>
      <c r="AA78" s="89">
        <f>SUM(Z64:Z78)</f>
        <v>0</v>
      </c>
    </row>
    <row r="79" spans="1:27" s="96" customFormat="1" ht="67.5" customHeight="1" x14ac:dyDescent="0.5">
      <c r="A79" s="215" t="s">
        <v>277</v>
      </c>
      <c r="B79" s="166">
        <f>B66</f>
        <v>138308.79999999999</v>
      </c>
      <c r="C79" s="167">
        <f t="shared" ref="C79:O79" si="37">C66</f>
        <v>138308.7561</v>
      </c>
      <c r="D79" s="167">
        <f t="shared" si="33"/>
        <v>713557.37115999998</v>
      </c>
      <c r="E79" s="167">
        <f t="shared" si="33"/>
        <v>713454.17999999993</v>
      </c>
      <c r="F79" s="167">
        <f t="shared" si="37"/>
        <v>112430</v>
      </c>
      <c r="G79" s="167">
        <f t="shared" si="37"/>
        <v>112345.38327000001</v>
      </c>
      <c r="H79" s="167">
        <f t="shared" si="37"/>
        <v>186827.88</v>
      </c>
      <c r="I79" s="167">
        <f t="shared" si="37"/>
        <v>186827.88</v>
      </c>
      <c r="J79" s="167">
        <f t="shared" si="37"/>
        <v>24679.756099999999</v>
      </c>
      <c r="K79" s="167">
        <f t="shared" si="37"/>
        <v>24661.181669999998</v>
      </c>
      <c r="L79" s="167">
        <f t="shared" si="37"/>
        <v>0</v>
      </c>
      <c r="M79" s="167">
        <f t="shared" si="37"/>
        <v>0</v>
      </c>
      <c r="N79" s="167">
        <f t="shared" si="37"/>
        <v>389619.73505999998</v>
      </c>
      <c r="O79" s="167">
        <f t="shared" si="37"/>
        <v>389619.73505999998</v>
      </c>
      <c r="P79" s="76"/>
      <c r="Q79" s="151"/>
      <c r="R79" s="152"/>
      <c r="S79" s="152"/>
      <c r="T79" s="148"/>
      <c r="U79" s="117"/>
      <c r="V79" s="94"/>
      <c r="W79" s="84"/>
      <c r="X79" s="84"/>
      <c r="Y79" s="95"/>
      <c r="Z79" s="95"/>
    </row>
    <row r="80" spans="1:27" s="88" customFormat="1" ht="40.5" customHeight="1" x14ac:dyDescent="0.45">
      <c r="A80" s="215" t="s">
        <v>246</v>
      </c>
      <c r="B80" s="166">
        <v>0</v>
      </c>
      <c r="C80" s="167">
        <v>0</v>
      </c>
      <c r="D80" s="167">
        <v>0</v>
      </c>
      <c r="E80" s="167">
        <v>0</v>
      </c>
      <c r="F80" s="167">
        <v>0</v>
      </c>
      <c r="G80" s="167">
        <v>0</v>
      </c>
      <c r="H80" s="167">
        <f>H75</f>
        <v>185462.58000000002</v>
      </c>
      <c r="I80" s="167">
        <f>I75</f>
        <v>185462.58000000002</v>
      </c>
      <c r="J80" s="167">
        <v>0</v>
      </c>
      <c r="K80" s="167">
        <v>0</v>
      </c>
      <c r="L80" s="167">
        <v>0</v>
      </c>
      <c r="M80" s="167">
        <v>0</v>
      </c>
      <c r="N80" s="167">
        <v>0</v>
      </c>
      <c r="O80" s="167">
        <v>0</v>
      </c>
      <c r="P80" s="76"/>
      <c r="Q80" s="151"/>
      <c r="R80" s="152"/>
      <c r="S80" s="152"/>
      <c r="T80" s="148"/>
      <c r="U80" s="79"/>
      <c r="V80" s="87"/>
      <c r="W80" s="84"/>
      <c r="X80" s="84"/>
      <c r="Y80" s="89"/>
      <c r="Z80" s="89"/>
    </row>
    <row r="81" spans="1:27" s="88" customFormat="1" ht="174" customHeight="1" x14ac:dyDescent="0.4">
      <c r="A81" s="215" t="s">
        <v>298</v>
      </c>
      <c r="B81" s="166">
        <f>B93</f>
        <v>9696.9</v>
      </c>
      <c r="C81" s="167">
        <f t="shared" ref="C81:O81" si="38">C83</f>
        <v>9706.8770800000002</v>
      </c>
      <c r="D81" s="167">
        <f>F81+H81+J81+L81+N81</f>
        <v>13790.192080000001</v>
      </c>
      <c r="E81" s="167">
        <f>G81+I81+K81+M81+O81</f>
        <v>13785.192080000001</v>
      </c>
      <c r="F81" s="167">
        <f t="shared" si="38"/>
        <v>317.01499999999999</v>
      </c>
      <c r="G81" s="167">
        <f t="shared" si="38"/>
        <v>317.01499999999999</v>
      </c>
      <c r="H81" s="167">
        <f t="shared" si="38"/>
        <v>0</v>
      </c>
      <c r="I81" s="167">
        <f t="shared" si="38"/>
        <v>0</v>
      </c>
      <c r="J81" s="167">
        <f t="shared" si="38"/>
        <v>6373.1770800000004</v>
      </c>
      <c r="K81" s="167">
        <f t="shared" si="38"/>
        <v>6368.1770800000004</v>
      </c>
      <c r="L81" s="167">
        <f t="shared" si="38"/>
        <v>0</v>
      </c>
      <c r="M81" s="167">
        <f t="shared" si="38"/>
        <v>0</v>
      </c>
      <c r="N81" s="167">
        <f t="shared" si="38"/>
        <v>7100</v>
      </c>
      <c r="O81" s="167">
        <f t="shared" si="38"/>
        <v>7100</v>
      </c>
      <c r="P81" s="110" t="s">
        <v>317</v>
      </c>
      <c r="Q81" s="149">
        <v>96.7</v>
      </c>
      <c r="R81" s="149">
        <v>108</v>
      </c>
      <c r="S81" s="149">
        <v>108.1</v>
      </c>
      <c r="T81" s="169">
        <f>S81-R81</f>
        <v>9.9999999999994316E-2</v>
      </c>
      <c r="U81" s="72" t="s">
        <v>418</v>
      </c>
      <c r="V81" s="98"/>
      <c r="W81" s="84"/>
      <c r="X81" s="84"/>
      <c r="Y81" s="89"/>
      <c r="Z81" s="89"/>
      <c r="AA81" s="89"/>
    </row>
    <row r="82" spans="1:27" s="88" customFormat="1" ht="26.25" customHeight="1" x14ac:dyDescent="0.45">
      <c r="A82" s="274" t="s">
        <v>296</v>
      </c>
      <c r="B82" s="274"/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87"/>
      <c r="W82" s="84"/>
      <c r="X82" s="84"/>
      <c r="Y82" s="89"/>
      <c r="Z82" s="89"/>
    </row>
    <row r="83" spans="1:27" s="88" customFormat="1" ht="271.5" customHeight="1" x14ac:dyDescent="0.4">
      <c r="A83" s="215" t="s">
        <v>299</v>
      </c>
      <c r="B83" s="166">
        <f>B84</f>
        <v>9696.9</v>
      </c>
      <c r="C83" s="167">
        <f>C84</f>
        <v>9706.8770800000002</v>
      </c>
      <c r="D83" s="167">
        <f>F83+H83+J83+L83+N83</f>
        <v>13790.192080000001</v>
      </c>
      <c r="E83" s="167">
        <f>G83+I83+K83+M83+O83</f>
        <v>13785.192080000001</v>
      </c>
      <c r="F83" s="167">
        <f t="shared" ref="F83:O83" si="39">F84</f>
        <v>317.01499999999999</v>
      </c>
      <c r="G83" s="167">
        <f t="shared" si="39"/>
        <v>317.01499999999999</v>
      </c>
      <c r="H83" s="167">
        <f t="shared" si="39"/>
        <v>0</v>
      </c>
      <c r="I83" s="167">
        <f t="shared" si="39"/>
        <v>0</v>
      </c>
      <c r="J83" s="167">
        <f t="shared" si="39"/>
        <v>6373.1770800000004</v>
      </c>
      <c r="K83" s="167">
        <f t="shared" si="39"/>
        <v>6368.1770800000004</v>
      </c>
      <c r="L83" s="167">
        <f t="shared" si="39"/>
        <v>0</v>
      </c>
      <c r="M83" s="167">
        <f t="shared" si="39"/>
        <v>0</v>
      </c>
      <c r="N83" s="167">
        <f t="shared" si="39"/>
        <v>7100</v>
      </c>
      <c r="O83" s="167">
        <f t="shared" si="39"/>
        <v>7100</v>
      </c>
      <c r="P83" s="110" t="s">
        <v>318</v>
      </c>
      <c r="Q83" s="169">
        <v>55.9</v>
      </c>
      <c r="R83" s="169">
        <v>62.4</v>
      </c>
      <c r="S83" s="169">
        <f>43.5+19</f>
        <v>62.5</v>
      </c>
      <c r="T83" s="169">
        <f t="shared" ref="T83" si="40">S83/R83*100-100</f>
        <v>0.1602564102564088</v>
      </c>
      <c r="U83" s="110" t="s">
        <v>418</v>
      </c>
      <c r="V83" s="93"/>
      <c r="W83" s="84"/>
      <c r="X83" s="84"/>
      <c r="Y83" s="84"/>
      <c r="Z83" s="84"/>
    </row>
    <row r="84" spans="1:27" s="88" customFormat="1" ht="270" customHeight="1" x14ac:dyDescent="0.4">
      <c r="A84" s="286" t="s">
        <v>300</v>
      </c>
      <c r="B84" s="260">
        <f>B86+B89++B90+B92+B88</f>
        <v>9696.9</v>
      </c>
      <c r="C84" s="254">
        <f>C86+C89++C90+C92+C88</f>
        <v>9706.8770800000002</v>
      </c>
      <c r="D84" s="254">
        <f>F84+H84+J84+L84+N84</f>
        <v>13790.192080000001</v>
      </c>
      <c r="E84" s="254">
        <f>G84+I84+K84+M84+O84</f>
        <v>13785.192080000001</v>
      </c>
      <c r="F84" s="249">
        <f t="shared" ref="F84:O84" si="41">F86+F89++F90+F92</f>
        <v>317.01499999999999</v>
      </c>
      <c r="G84" s="249">
        <f t="shared" si="41"/>
        <v>317.01499999999999</v>
      </c>
      <c r="H84" s="249">
        <f t="shared" si="41"/>
        <v>0</v>
      </c>
      <c r="I84" s="249">
        <f t="shared" si="41"/>
        <v>0</v>
      </c>
      <c r="J84" s="249">
        <f t="shared" si="41"/>
        <v>6373.1770800000004</v>
      </c>
      <c r="K84" s="249">
        <f t="shared" si="41"/>
        <v>6368.1770800000004</v>
      </c>
      <c r="L84" s="249">
        <f t="shared" si="41"/>
        <v>0</v>
      </c>
      <c r="M84" s="249">
        <f t="shared" si="41"/>
        <v>0</v>
      </c>
      <c r="N84" s="249">
        <f t="shared" si="41"/>
        <v>7100</v>
      </c>
      <c r="O84" s="249">
        <f t="shared" si="41"/>
        <v>7100</v>
      </c>
      <c r="P84" s="110" t="s">
        <v>319</v>
      </c>
      <c r="Q84" s="169">
        <v>101.2</v>
      </c>
      <c r="R84" s="169">
        <v>117.3</v>
      </c>
      <c r="S84" s="169">
        <v>109.3</v>
      </c>
      <c r="T84" s="169">
        <f>S84-R84</f>
        <v>-8</v>
      </c>
      <c r="U84" s="72" t="s">
        <v>413</v>
      </c>
      <c r="V84" s="128"/>
      <c r="W84" s="84"/>
      <c r="X84" s="84"/>
      <c r="Y84" s="84"/>
      <c r="Z84" s="84"/>
    </row>
    <row r="85" spans="1:27" s="88" customFormat="1" ht="105.75" customHeight="1" x14ac:dyDescent="0.4">
      <c r="A85" s="286"/>
      <c r="B85" s="260"/>
      <c r="C85" s="254"/>
      <c r="D85" s="254"/>
      <c r="E85" s="254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110" t="s">
        <v>320</v>
      </c>
      <c r="Q85" s="169">
        <v>100</v>
      </c>
      <c r="R85" s="169">
        <v>104</v>
      </c>
      <c r="S85" s="169">
        <v>107.4</v>
      </c>
      <c r="T85" s="169">
        <f>S85-R85</f>
        <v>3.4000000000000057</v>
      </c>
      <c r="U85" s="72" t="s">
        <v>418</v>
      </c>
      <c r="V85" s="128"/>
      <c r="W85" s="84"/>
      <c r="X85" s="84"/>
      <c r="Y85" s="84"/>
      <c r="Z85" s="84"/>
    </row>
    <row r="86" spans="1:27" s="88" customFormat="1" ht="144" customHeight="1" x14ac:dyDescent="0.4">
      <c r="A86" s="275" t="s">
        <v>392</v>
      </c>
      <c r="B86" s="290">
        <v>6263.2</v>
      </c>
      <c r="C86" s="257">
        <v>6263.1770800000004</v>
      </c>
      <c r="D86" s="257">
        <f t="shared" ref="D86:E86" si="42">F86+H86+J86+L86+N86</f>
        <v>6263.1770800000004</v>
      </c>
      <c r="E86" s="257">
        <f t="shared" si="42"/>
        <v>6263.1770800000004</v>
      </c>
      <c r="F86" s="257">
        <v>0</v>
      </c>
      <c r="G86" s="257">
        <v>0</v>
      </c>
      <c r="H86" s="257">
        <v>0</v>
      </c>
      <c r="I86" s="257">
        <v>0</v>
      </c>
      <c r="J86" s="257">
        <v>6263.1770800000004</v>
      </c>
      <c r="K86" s="257">
        <v>6263.1770800000004</v>
      </c>
      <c r="L86" s="257">
        <v>0</v>
      </c>
      <c r="M86" s="257">
        <v>0</v>
      </c>
      <c r="N86" s="257">
        <v>0</v>
      </c>
      <c r="O86" s="257">
        <v>0</v>
      </c>
      <c r="P86" s="110" t="s">
        <v>438</v>
      </c>
      <c r="Q86" s="169" t="s">
        <v>242</v>
      </c>
      <c r="R86" s="169">
        <v>0.2</v>
      </c>
      <c r="S86" s="169">
        <v>0.55000000000000004</v>
      </c>
      <c r="T86" s="169" t="s">
        <v>430</v>
      </c>
      <c r="U86" s="72" t="s">
        <v>418</v>
      </c>
      <c r="V86" s="124"/>
      <c r="W86" s="84"/>
      <c r="X86" s="84"/>
      <c r="Y86" s="84"/>
      <c r="Z86" s="84"/>
    </row>
    <row r="87" spans="1:27" s="88" customFormat="1" ht="111" customHeight="1" x14ac:dyDescent="0.4">
      <c r="A87" s="276"/>
      <c r="B87" s="291"/>
      <c r="C87" s="258"/>
      <c r="D87" s="258"/>
      <c r="E87" s="258"/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110" t="s">
        <v>379</v>
      </c>
      <c r="Q87" s="169" t="s">
        <v>242</v>
      </c>
      <c r="R87" s="169">
        <v>1.9</v>
      </c>
      <c r="S87" s="169">
        <v>2.2999999999999998</v>
      </c>
      <c r="T87" s="169">
        <f t="shared" ref="T87" si="43">S87/R87*100-100</f>
        <v>21.05263157894737</v>
      </c>
      <c r="U87" s="72" t="s">
        <v>418</v>
      </c>
      <c r="V87" s="124"/>
      <c r="W87" s="84"/>
      <c r="X87" s="84"/>
      <c r="Y87" s="84"/>
      <c r="Z87" s="84"/>
    </row>
    <row r="88" spans="1:27" s="88" customFormat="1" ht="207" customHeight="1" x14ac:dyDescent="0.4">
      <c r="A88" s="168" t="s">
        <v>389</v>
      </c>
      <c r="B88" s="165">
        <v>3000</v>
      </c>
      <c r="C88" s="191">
        <v>3000</v>
      </c>
      <c r="D88" s="191">
        <v>0</v>
      </c>
      <c r="E88" s="191">
        <v>0</v>
      </c>
      <c r="F88" s="191">
        <v>0</v>
      </c>
      <c r="G88" s="191">
        <v>0</v>
      </c>
      <c r="H88" s="191">
        <v>0</v>
      </c>
      <c r="I88" s="191">
        <v>0</v>
      </c>
      <c r="J88" s="191">
        <v>0</v>
      </c>
      <c r="K88" s="191">
        <v>0</v>
      </c>
      <c r="L88" s="191">
        <v>0</v>
      </c>
      <c r="M88" s="191">
        <v>0</v>
      </c>
      <c r="N88" s="191">
        <v>0</v>
      </c>
      <c r="O88" s="191">
        <v>0</v>
      </c>
      <c r="P88" s="110" t="s">
        <v>390</v>
      </c>
      <c r="Q88" s="169" t="s">
        <v>242</v>
      </c>
      <c r="R88" s="169">
        <v>4.4000000000000004</v>
      </c>
      <c r="S88" s="169">
        <v>147</v>
      </c>
      <c r="T88" s="169" t="s">
        <v>431</v>
      </c>
      <c r="U88" s="178" t="s">
        <v>411</v>
      </c>
      <c r="V88" s="124"/>
      <c r="W88" s="84"/>
      <c r="X88" s="84"/>
      <c r="Y88" s="84"/>
      <c r="Z88" s="84"/>
    </row>
    <row r="89" spans="1:27" ht="66" customHeight="1" x14ac:dyDescent="0.5">
      <c r="A89" s="216" t="s">
        <v>301</v>
      </c>
      <c r="B89" s="169">
        <v>0</v>
      </c>
      <c r="C89" s="111">
        <v>0</v>
      </c>
      <c r="D89" s="111">
        <f t="shared" ref="D89:E89" si="44">F89+H89+J89+L89+N89</f>
        <v>7100</v>
      </c>
      <c r="E89" s="111">
        <f t="shared" si="44"/>
        <v>7100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7100</v>
      </c>
      <c r="O89" s="111">
        <v>7100</v>
      </c>
      <c r="P89" s="110" t="s">
        <v>254</v>
      </c>
      <c r="Q89" s="169">
        <v>15</v>
      </c>
      <c r="R89" s="169">
        <v>7.1</v>
      </c>
      <c r="S89" s="169">
        <v>7.1</v>
      </c>
      <c r="T89" s="169">
        <f t="shared" ref="T89:T92" si="45">S89/R89*100-100</f>
        <v>0</v>
      </c>
      <c r="U89" s="164" t="s">
        <v>418</v>
      </c>
    </row>
    <row r="90" spans="1:27" ht="80.25" customHeight="1" x14ac:dyDescent="0.5">
      <c r="A90" s="275" t="s">
        <v>393</v>
      </c>
      <c r="B90" s="290">
        <v>100</v>
      </c>
      <c r="C90" s="257">
        <v>110</v>
      </c>
      <c r="D90" s="257">
        <f>F90+H90+J90+L90+N90</f>
        <v>110</v>
      </c>
      <c r="E90" s="257">
        <f>G90+I90+K90+M90+O90</f>
        <v>105</v>
      </c>
      <c r="F90" s="257">
        <v>0</v>
      </c>
      <c r="G90" s="257">
        <v>0</v>
      </c>
      <c r="H90" s="257">
        <v>0</v>
      </c>
      <c r="I90" s="257">
        <v>0</v>
      </c>
      <c r="J90" s="257">
        <v>110</v>
      </c>
      <c r="K90" s="257">
        <v>105</v>
      </c>
      <c r="L90" s="257">
        <v>0</v>
      </c>
      <c r="M90" s="257">
        <v>0</v>
      </c>
      <c r="N90" s="257">
        <v>0</v>
      </c>
      <c r="O90" s="257">
        <v>0</v>
      </c>
      <c r="P90" s="110" t="s">
        <v>380</v>
      </c>
      <c r="Q90" s="169">
        <v>20</v>
      </c>
      <c r="R90" s="169">
        <v>50</v>
      </c>
      <c r="S90" s="169">
        <v>56</v>
      </c>
      <c r="T90" s="169">
        <f t="shared" si="45"/>
        <v>12.000000000000014</v>
      </c>
      <c r="U90" s="178" t="s">
        <v>418</v>
      </c>
    </row>
    <row r="91" spans="1:27" ht="99.75" customHeight="1" x14ac:dyDescent="0.5">
      <c r="A91" s="276"/>
      <c r="B91" s="291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110" t="s">
        <v>381</v>
      </c>
      <c r="Q91" s="169">
        <v>33</v>
      </c>
      <c r="R91" s="169">
        <v>30</v>
      </c>
      <c r="S91" s="169">
        <v>38</v>
      </c>
      <c r="T91" s="169">
        <f t="shared" si="45"/>
        <v>26.666666666666657</v>
      </c>
      <c r="U91" s="178" t="s">
        <v>418</v>
      </c>
    </row>
    <row r="92" spans="1:27" ht="96" customHeight="1" x14ac:dyDescent="0.5">
      <c r="A92" s="216" t="s">
        <v>363</v>
      </c>
      <c r="B92" s="169">
        <v>333.7</v>
      </c>
      <c r="C92" s="111">
        <v>333.7</v>
      </c>
      <c r="D92" s="111">
        <f>F92+H92+J92+L92+N92</f>
        <v>317.01499999999999</v>
      </c>
      <c r="E92" s="111">
        <f>G92+I92+K92+M92+O92</f>
        <v>317.01499999999999</v>
      </c>
      <c r="F92" s="111">
        <v>317.01499999999999</v>
      </c>
      <c r="G92" s="111">
        <v>317.01499999999999</v>
      </c>
      <c r="H92" s="111">
        <v>0</v>
      </c>
      <c r="I92" s="111">
        <v>0</v>
      </c>
      <c r="J92" s="111">
        <v>0</v>
      </c>
      <c r="K92" s="111">
        <v>0</v>
      </c>
      <c r="L92" s="111">
        <v>0</v>
      </c>
      <c r="M92" s="111">
        <v>0</v>
      </c>
      <c r="N92" s="111">
        <v>0</v>
      </c>
      <c r="O92" s="111">
        <v>0</v>
      </c>
      <c r="P92" s="110" t="s">
        <v>358</v>
      </c>
      <c r="Q92" s="169" t="s">
        <v>242</v>
      </c>
      <c r="R92" s="169">
        <v>90</v>
      </c>
      <c r="S92" s="169">
        <v>104</v>
      </c>
      <c r="T92" s="169">
        <f t="shared" si="45"/>
        <v>15.555555555555543</v>
      </c>
      <c r="U92" s="72" t="s">
        <v>418</v>
      </c>
      <c r="AA92" s="89">
        <f>SUM(Z82:Z92)</f>
        <v>0</v>
      </c>
    </row>
    <row r="93" spans="1:27" s="96" customFormat="1" ht="59.25" customHeight="1" x14ac:dyDescent="0.5">
      <c r="A93" s="215" t="s">
        <v>277</v>
      </c>
      <c r="B93" s="166">
        <f t="shared" ref="B93:O93" si="46">B83</f>
        <v>9696.9</v>
      </c>
      <c r="C93" s="167">
        <f t="shared" si="46"/>
        <v>9706.8770800000002</v>
      </c>
      <c r="D93" s="167">
        <f t="shared" si="46"/>
        <v>13790.192080000001</v>
      </c>
      <c r="E93" s="167">
        <f t="shared" si="46"/>
        <v>13785.192080000001</v>
      </c>
      <c r="F93" s="167">
        <f t="shared" si="46"/>
        <v>317.01499999999999</v>
      </c>
      <c r="G93" s="167">
        <f t="shared" si="46"/>
        <v>317.01499999999999</v>
      </c>
      <c r="H93" s="167">
        <f t="shared" si="46"/>
        <v>0</v>
      </c>
      <c r="I93" s="167">
        <f t="shared" si="46"/>
        <v>0</v>
      </c>
      <c r="J93" s="167">
        <f t="shared" si="46"/>
        <v>6373.1770800000004</v>
      </c>
      <c r="K93" s="167">
        <f t="shared" si="46"/>
        <v>6368.1770800000004</v>
      </c>
      <c r="L93" s="167">
        <f t="shared" si="46"/>
        <v>0</v>
      </c>
      <c r="M93" s="167">
        <f t="shared" si="46"/>
        <v>0</v>
      </c>
      <c r="N93" s="167">
        <f t="shared" si="46"/>
        <v>7100</v>
      </c>
      <c r="O93" s="167">
        <f t="shared" si="46"/>
        <v>7100</v>
      </c>
      <c r="P93" s="110"/>
      <c r="Q93" s="169"/>
      <c r="R93" s="138"/>
      <c r="S93" s="138"/>
      <c r="T93" s="138"/>
      <c r="U93" s="78"/>
      <c r="V93" s="94"/>
      <c r="W93" s="84"/>
      <c r="X93" s="84"/>
      <c r="Y93" s="95"/>
      <c r="Z93" s="95"/>
    </row>
    <row r="94" spans="1:27" s="88" customFormat="1" ht="24.75" customHeight="1" x14ac:dyDescent="0.45">
      <c r="A94" s="215" t="s">
        <v>246</v>
      </c>
      <c r="B94" s="166">
        <v>0</v>
      </c>
      <c r="C94" s="167">
        <v>0</v>
      </c>
      <c r="D94" s="167">
        <v>0</v>
      </c>
      <c r="E94" s="167">
        <v>0</v>
      </c>
      <c r="F94" s="167">
        <v>0</v>
      </c>
      <c r="G94" s="167">
        <v>0</v>
      </c>
      <c r="H94" s="167">
        <v>0</v>
      </c>
      <c r="I94" s="167">
        <v>0</v>
      </c>
      <c r="J94" s="167">
        <v>0</v>
      </c>
      <c r="K94" s="167">
        <v>0</v>
      </c>
      <c r="L94" s="167">
        <v>0</v>
      </c>
      <c r="M94" s="167">
        <v>0</v>
      </c>
      <c r="N94" s="167">
        <v>0</v>
      </c>
      <c r="O94" s="167">
        <v>0</v>
      </c>
      <c r="P94" s="175"/>
      <c r="Q94" s="166"/>
      <c r="R94" s="148"/>
      <c r="S94" s="148"/>
      <c r="T94" s="148"/>
      <c r="U94" s="79"/>
      <c r="V94" s="87"/>
      <c r="W94" s="84"/>
      <c r="X94" s="84"/>
      <c r="Y94" s="89"/>
      <c r="Z94" s="89"/>
    </row>
    <row r="95" spans="1:27" s="88" customFormat="1" ht="135" customHeight="1" x14ac:dyDescent="0.45">
      <c r="A95" s="215" t="s">
        <v>302</v>
      </c>
      <c r="B95" s="166">
        <f>B96</f>
        <v>299312.41899999999</v>
      </c>
      <c r="C95" s="167">
        <f t="shared" ref="C95:O95" si="47">C96</f>
        <v>299312.36977999995</v>
      </c>
      <c r="D95" s="167">
        <f t="shared" ref="D95:E122" si="48">F95+H95+J95+L95+N95</f>
        <v>270212.05576000002</v>
      </c>
      <c r="E95" s="167">
        <f t="shared" si="48"/>
        <v>264470.23267</v>
      </c>
      <c r="F95" s="167">
        <f t="shared" si="47"/>
        <v>47551.459110000011</v>
      </c>
      <c r="G95" s="167">
        <f t="shared" si="47"/>
        <v>47415.995360000015</v>
      </c>
      <c r="H95" s="167">
        <f t="shared" si="47"/>
        <v>0</v>
      </c>
      <c r="I95" s="167">
        <f t="shared" si="47"/>
        <v>0</v>
      </c>
      <c r="J95" s="167">
        <f t="shared" si="47"/>
        <v>201838.09429000001</v>
      </c>
      <c r="K95" s="167">
        <f t="shared" si="47"/>
        <v>197006.30132</v>
      </c>
      <c r="L95" s="167">
        <f t="shared" si="47"/>
        <v>8039.8268599999992</v>
      </c>
      <c r="M95" s="167">
        <f t="shared" si="47"/>
        <v>7265.2604899999997</v>
      </c>
      <c r="N95" s="167">
        <f t="shared" si="47"/>
        <v>12782.675499999999</v>
      </c>
      <c r="O95" s="167">
        <f t="shared" si="47"/>
        <v>12782.675499999999</v>
      </c>
      <c r="P95" s="110" t="s">
        <v>321</v>
      </c>
      <c r="Q95" s="169" t="s">
        <v>242</v>
      </c>
      <c r="R95" s="169">
        <v>30</v>
      </c>
      <c r="S95" s="169">
        <v>33.700000000000003</v>
      </c>
      <c r="T95" s="169">
        <f>S95-R95</f>
        <v>3.7000000000000028</v>
      </c>
      <c r="U95" s="112" t="s">
        <v>418</v>
      </c>
      <c r="V95" s="99"/>
      <c r="W95" s="84"/>
      <c r="X95" s="84"/>
      <c r="Y95" s="84"/>
      <c r="Z95" s="84"/>
    </row>
    <row r="96" spans="1:27" s="88" customFormat="1" ht="148.5" customHeight="1" x14ac:dyDescent="0.45">
      <c r="A96" s="215" t="s">
        <v>303</v>
      </c>
      <c r="B96" s="166">
        <f>B123</f>
        <v>299312.41899999999</v>
      </c>
      <c r="C96" s="167">
        <f>C123</f>
        <v>299312.36977999995</v>
      </c>
      <c r="D96" s="167">
        <f t="shared" si="48"/>
        <v>270212.05576000002</v>
      </c>
      <c r="E96" s="167">
        <f t="shared" si="48"/>
        <v>264470.23267</v>
      </c>
      <c r="F96" s="167">
        <f t="shared" ref="F96:O96" si="49">F123</f>
        <v>47551.459110000011</v>
      </c>
      <c r="G96" s="167">
        <f t="shared" si="49"/>
        <v>47415.995360000015</v>
      </c>
      <c r="H96" s="167">
        <f t="shared" si="49"/>
        <v>0</v>
      </c>
      <c r="I96" s="167">
        <f t="shared" si="49"/>
        <v>0</v>
      </c>
      <c r="J96" s="167">
        <f t="shared" si="49"/>
        <v>201838.09429000001</v>
      </c>
      <c r="K96" s="167">
        <f t="shared" si="49"/>
        <v>197006.30132</v>
      </c>
      <c r="L96" s="167">
        <f t="shared" si="49"/>
        <v>8039.8268599999992</v>
      </c>
      <c r="M96" s="167">
        <f t="shared" si="49"/>
        <v>7265.2604899999997</v>
      </c>
      <c r="N96" s="167">
        <f t="shared" si="49"/>
        <v>12782.675499999999</v>
      </c>
      <c r="O96" s="167">
        <f t="shared" si="49"/>
        <v>12782.675499999999</v>
      </c>
      <c r="P96" s="110" t="s">
        <v>322</v>
      </c>
      <c r="Q96" s="169" t="s">
        <v>242</v>
      </c>
      <c r="R96" s="169">
        <v>39</v>
      </c>
      <c r="S96" s="169">
        <v>39.020000000000003</v>
      </c>
      <c r="T96" s="169">
        <f>S96-R96</f>
        <v>2.0000000000003126E-2</v>
      </c>
      <c r="U96" s="112" t="s">
        <v>418</v>
      </c>
      <c r="V96" s="87"/>
      <c r="W96" s="84"/>
      <c r="X96" s="84"/>
      <c r="Y96" s="84"/>
      <c r="Z96" s="84"/>
    </row>
    <row r="97" spans="1:27" s="88" customFormat="1" ht="39" customHeight="1" x14ac:dyDescent="0.45">
      <c r="A97" s="259" t="s">
        <v>304</v>
      </c>
      <c r="B97" s="259"/>
      <c r="C97" s="259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87"/>
      <c r="W97" s="84"/>
      <c r="X97" s="84"/>
      <c r="Y97" s="89"/>
      <c r="Z97" s="89"/>
    </row>
    <row r="98" spans="1:27" s="88" customFormat="1" ht="189.75" customHeight="1" x14ac:dyDescent="0.45">
      <c r="A98" s="207" t="s">
        <v>331</v>
      </c>
      <c r="B98" s="166">
        <f>B99+B116+B121</f>
        <v>299312.41899999999</v>
      </c>
      <c r="C98" s="167">
        <f>C99+C116+C121</f>
        <v>299312.36977999995</v>
      </c>
      <c r="D98" s="167">
        <f>F98+H98+J98+L98+N98</f>
        <v>270212.05576000002</v>
      </c>
      <c r="E98" s="167">
        <f t="shared" si="48"/>
        <v>264470.23267</v>
      </c>
      <c r="F98" s="167">
        <f t="shared" ref="F98:O98" si="50">F99+F116+F121</f>
        <v>47551.459110000011</v>
      </c>
      <c r="G98" s="167">
        <f t="shared" si="50"/>
        <v>47415.995360000015</v>
      </c>
      <c r="H98" s="167">
        <f t="shared" si="50"/>
        <v>0</v>
      </c>
      <c r="I98" s="167">
        <f t="shared" si="50"/>
        <v>0</v>
      </c>
      <c r="J98" s="167">
        <f t="shared" si="50"/>
        <v>201838.09429000001</v>
      </c>
      <c r="K98" s="167">
        <f t="shared" si="50"/>
        <v>197006.30132</v>
      </c>
      <c r="L98" s="167">
        <f t="shared" si="50"/>
        <v>8039.8268599999992</v>
      </c>
      <c r="M98" s="167">
        <f t="shared" si="50"/>
        <v>7265.2604899999997</v>
      </c>
      <c r="N98" s="167">
        <f t="shared" si="50"/>
        <v>12782.675499999999</v>
      </c>
      <c r="O98" s="167">
        <f t="shared" si="50"/>
        <v>12782.675499999999</v>
      </c>
      <c r="P98" s="72" t="s">
        <v>323</v>
      </c>
      <c r="Q98" s="169" t="s">
        <v>242</v>
      </c>
      <c r="R98" s="169">
        <v>46</v>
      </c>
      <c r="S98" s="169">
        <v>46</v>
      </c>
      <c r="T98" s="169">
        <f t="shared" ref="T98:T113" si="51">S98/R98*100-100</f>
        <v>0</v>
      </c>
      <c r="U98" s="112" t="s">
        <v>418</v>
      </c>
      <c r="V98" s="87"/>
      <c r="W98" s="84"/>
      <c r="X98" s="84"/>
      <c r="Y98" s="84"/>
      <c r="Z98" s="84"/>
      <c r="AA98" s="83"/>
    </row>
    <row r="99" spans="1:27" s="88" customFormat="1" ht="202.5" customHeight="1" x14ac:dyDescent="0.45">
      <c r="A99" s="207" t="s">
        <v>305</v>
      </c>
      <c r="B99" s="166">
        <f>B100+B109+B110</f>
        <v>290108.11900000001</v>
      </c>
      <c r="C99" s="167">
        <f>C100+C109+C110</f>
        <v>290108.02117999998</v>
      </c>
      <c r="D99" s="167">
        <f t="shared" si="48"/>
        <v>253360.57793000003</v>
      </c>
      <c r="E99" s="167">
        <f t="shared" si="48"/>
        <v>247618.75484000004</v>
      </c>
      <c r="F99" s="167">
        <f t="shared" ref="F99:O99" si="52">F100+F109+F110</f>
        <v>43389.619040000005</v>
      </c>
      <c r="G99" s="167">
        <f t="shared" si="52"/>
        <v>43254.15529000001</v>
      </c>
      <c r="H99" s="167">
        <f t="shared" si="52"/>
        <v>0</v>
      </c>
      <c r="I99" s="167">
        <f t="shared" si="52"/>
        <v>0</v>
      </c>
      <c r="J99" s="167">
        <f t="shared" si="52"/>
        <v>196795.64756000001</v>
      </c>
      <c r="K99" s="167">
        <f t="shared" si="52"/>
        <v>191963.85459</v>
      </c>
      <c r="L99" s="167">
        <f t="shared" si="52"/>
        <v>7878.2614999999996</v>
      </c>
      <c r="M99" s="167">
        <f t="shared" si="52"/>
        <v>7103.6951300000001</v>
      </c>
      <c r="N99" s="167">
        <f t="shared" si="52"/>
        <v>5297.0498299999999</v>
      </c>
      <c r="O99" s="167">
        <f t="shared" si="52"/>
        <v>5297.0498299999999</v>
      </c>
      <c r="P99" s="72" t="s">
        <v>396</v>
      </c>
      <c r="Q99" s="169" t="s">
        <v>242</v>
      </c>
      <c r="R99" s="169">
        <v>13</v>
      </c>
      <c r="S99" s="169">
        <v>13</v>
      </c>
      <c r="T99" s="169">
        <f t="shared" si="51"/>
        <v>0</v>
      </c>
      <c r="U99" s="112" t="s">
        <v>418</v>
      </c>
      <c r="V99" s="87"/>
      <c r="W99" s="84"/>
      <c r="X99" s="84"/>
      <c r="Y99" s="84"/>
      <c r="Z99" s="84"/>
      <c r="AA99" s="83"/>
    </row>
    <row r="100" spans="1:27" s="92" customFormat="1" ht="302.25" customHeight="1" x14ac:dyDescent="0.4">
      <c r="A100" s="288" t="s">
        <v>394</v>
      </c>
      <c r="B100" s="290">
        <f>B103+B104+B105+B106+B107</f>
        <v>192853.21899999998</v>
      </c>
      <c r="C100" s="257">
        <f>C103+C104+C105+C106+C107</f>
        <v>192853.21899999998</v>
      </c>
      <c r="D100" s="257">
        <f t="shared" si="48"/>
        <v>192387.09208</v>
      </c>
      <c r="E100" s="257">
        <f t="shared" si="48"/>
        <v>187591.39416</v>
      </c>
      <c r="F100" s="257">
        <f t="shared" ref="F100:O100" si="53">F103+F104+F105+F106+F107</f>
        <v>0</v>
      </c>
      <c r="G100" s="257">
        <f t="shared" si="53"/>
        <v>0</v>
      </c>
      <c r="H100" s="257">
        <f t="shared" si="53"/>
        <v>0</v>
      </c>
      <c r="I100" s="257">
        <f t="shared" si="53"/>
        <v>0</v>
      </c>
      <c r="J100" s="257">
        <f t="shared" si="53"/>
        <v>189083.46961</v>
      </c>
      <c r="K100" s="257">
        <f t="shared" si="53"/>
        <v>184287.77168999999</v>
      </c>
      <c r="L100" s="257">
        <f t="shared" si="53"/>
        <v>3303.6224699999993</v>
      </c>
      <c r="M100" s="257">
        <f t="shared" si="53"/>
        <v>3303.6224699999993</v>
      </c>
      <c r="N100" s="257">
        <f t="shared" si="53"/>
        <v>0</v>
      </c>
      <c r="O100" s="257">
        <f t="shared" si="53"/>
        <v>0</v>
      </c>
      <c r="P100" s="72" t="s">
        <v>324</v>
      </c>
      <c r="Q100" s="169" t="s">
        <v>242</v>
      </c>
      <c r="R100" s="169">
        <v>2.746</v>
      </c>
      <c r="S100" s="169">
        <f>S104+S105+S107</f>
        <v>2.056</v>
      </c>
      <c r="T100" s="169">
        <f t="shared" si="51"/>
        <v>-25.127458120903128</v>
      </c>
      <c r="U100" s="72" t="s">
        <v>432</v>
      </c>
      <c r="V100" s="100"/>
      <c r="W100" s="84"/>
      <c r="X100" s="84"/>
      <c r="Y100" s="84"/>
      <c r="Z100" s="95"/>
      <c r="AA100" s="96"/>
    </row>
    <row r="101" spans="1:27" s="92" customFormat="1" ht="105.75" customHeight="1" x14ac:dyDescent="0.4">
      <c r="A101" s="289"/>
      <c r="B101" s="291"/>
      <c r="C101" s="258"/>
      <c r="D101" s="258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72" t="s">
        <v>385</v>
      </c>
      <c r="Q101" s="169" t="s">
        <v>242</v>
      </c>
      <c r="R101" s="169">
        <v>1</v>
      </c>
      <c r="S101" s="169">
        <v>1</v>
      </c>
      <c r="T101" s="169">
        <f t="shared" si="51"/>
        <v>0</v>
      </c>
      <c r="U101" s="72"/>
      <c r="V101" s="100"/>
      <c r="W101" s="84"/>
      <c r="X101" s="84"/>
      <c r="Y101" s="84"/>
      <c r="Z101" s="95"/>
      <c r="AA101" s="96"/>
    </row>
    <row r="102" spans="1:27" s="92" customFormat="1" ht="38.25" customHeight="1" x14ac:dyDescent="0.4">
      <c r="A102" s="218" t="s">
        <v>387</v>
      </c>
      <c r="B102" s="138"/>
      <c r="C102" s="111"/>
      <c r="D102" s="111"/>
      <c r="E102" s="111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72"/>
      <c r="Q102" s="169"/>
      <c r="R102" s="169"/>
      <c r="S102" s="138"/>
      <c r="T102" s="169"/>
      <c r="U102" s="77"/>
      <c r="V102" s="100"/>
      <c r="W102" s="84"/>
      <c r="X102" s="84"/>
      <c r="Y102" s="84"/>
      <c r="Z102" s="95"/>
      <c r="AA102" s="96"/>
    </row>
    <row r="103" spans="1:27" s="92" customFormat="1" ht="232.5" customHeight="1" x14ac:dyDescent="0.4">
      <c r="A103" s="218" t="s">
        <v>383</v>
      </c>
      <c r="B103" s="169">
        <v>1483.4742900000001</v>
      </c>
      <c r="C103" s="111">
        <v>1483.4742900000001</v>
      </c>
      <c r="D103" s="111">
        <f t="shared" si="48"/>
        <v>1498.4588800000001</v>
      </c>
      <c r="E103" s="111">
        <f t="shared" si="48"/>
        <v>1498.4588800000001</v>
      </c>
      <c r="F103" s="111">
        <v>0</v>
      </c>
      <c r="G103" s="111">
        <v>0</v>
      </c>
      <c r="H103" s="111">
        <v>0</v>
      </c>
      <c r="I103" s="111">
        <v>0</v>
      </c>
      <c r="J103" s="111">
        <v>1483.4742900000001</v>
      </c>
      <c r="K103" s="111">
        <v>1483.4742900000001</v>
      </c>
      <c r="L103" s="111">
        <v>14.984590000000001</v>
      </c>
      <c r="M103" s="111">
        <v>14.984590000000001</v>
      </c>
      <c r="N103" s="111">
        <v>0</v>
      </c>
      <c r="O103" s="111">
        <v>0</v>
      </c>
      <c r="P103" s="72" t="s">
        <v>440</v>
      </c>
      <c r="Q103" s="169" t="s">
        <v>242</v>
      </c>
      <c r="R103" s="169">
        <v>1</v>
      </c>
      <c r="S103" s="169">
        <v>1</v>
      </c>
      <c r="T103" s="169">
        <f t="shared" si="51"/>
        <v>0</v>
      </c>
      <c r="U103" s="176" t="s">
        <v>418</v>
      </c>
      <c r="V103" s="100" t="s">
        <v>433</v>
      </c>
      <c r="W103" s="84"/>
      <c r="X103" s="84"/>
      <c r="Y103" s="84"/>
      <c r="Z103" s="95"/>
      <c r="AA103" s="96"/>
    </row>
    <row r="104" spans="1:27" s="92" customFormat="1" ht="207" customHeight="1" x14ac:dyDescent="0.4">
      <c r="A104" s="219" t="s">
        <v>374</v>
      </c>
      <c r="B104" s="169">
        <v>65856.648000000001</v>
      </c>
      <c r="C104" s="111">
        <v>65856.648000000001</v>
      </c>
      <c r="D104" s="111">
        <f t="shared" si="48"/>
        <v>64668.990380000003</v>
      </c>
      <c r="E104" s="111">
        <f t="shared" si="48"/>
        <v>62997.529770000001</v>
      </c>
      <c r="F104" s="111">
        <v>0</v>
      </c>
      <c r="G104" s="111">
        <v>0</v>
      </c>
      <c r="H104" s="111">
        <v>0</v>
      </c>
      <c r="I104" s="111">
        <v>0</v>
      </c>
      <c r="J104" s="111">
        <v>64039.015090000001</v>
      </c>
      <c r="K104" s="111">
        <v>62367.554479999999</v>
      </c>
      <c r="L104" s="111">
        <v>629.97528999999997</v>
      </c>
      <c r="M104" s="111">
        <v>629.97528999999997</v>
      </c>
      <c r="N104" s="111">
        <v>0</v>
      </c>
      <c r="O104" s="111">
        <v>0</v>
      </c>
      <c r="P104" s="72" t="s">
        <v>375</v>
      </c>
      <c r="Q104" s="169" t="s">
        <v>242</v>
      </c>
      <c r="R104" s="132">
        <v>1.214</v>
      </c>
      <c r="S104" s="132">
        <v>1.246</v>
      </c>
      <c r="T104" s="169">
        <f t="shared" si="51"/>
        <v>2.6359143327841821</v>
      </c>
      <c r="U104" s="176" t="s">
        <v>418</v>
      </c>
      <c r="V104" s="100"/>
      <c r="W104" s="84"/>
      <c r="X104" s="84"/>
      <c r="Y104" s="84"/>
      <c r="Z104" s="95"/>
      <c r="AA104" s="96"/>
    </row>
    <row r="105" spans="1:27" s="92" customFormat="1" ht="211.5" customHeight="1" x14ac:dyDescent="0.4">
      <c r="A105" s="218" t="s">
        <v>376</v>
      </c>
      <c r="B105" s="169">
        <v>35010.948499999999</v>
      </c>
      <c r="C105" s="111">
        <v>35010.948499999999</v>
      </c>
      <c r="D105" s="111">
        <f t="shared" si="48"/>
        <v>35692.713080000001</v>
      </c>
      <c r="E105" s="111">
        <f t="shared" si="48"/>
        <v>35692.713080000001</v>
      </c>
      <c r="F105" s="111">
        <v>0</v>
      </c>
      <c r="G105" s="111">
        <v>0</v>
      </c>
      <c r="H105" s="111">
        <v>0</v>
      </c>
      <c r="I105" s="111">
        <v>0</v>
      </c>
      <c r="J105" s="111">
        <v>33908.077420000001</v>
      </c>
      <c r="K105" s="111">
        <v>33908.077420000001</v>
      </c>
      <c r="L105" s="111">
        <v>1784.6356599999999</v>
      </c>
      <c r="M105" s="111">
        <v>1784.6356599999999</v>
      </c>
      <c r="N105" s="111">
        <v>0</v>
      </c>
      <c r="O105" s="111">
        <v>0</v>
      </c>
      <c r="P105" s="72" t="s">
        <v>375</v>
      </c>
      <c r="Q105" s="169" t="s">
        <v>242</v>
      </c>
      <c r="R105" s="169">
        <v>0.81</v>
      </c>
      <c r="S105" s="169">
        <v>0.81</v>
      </c>
      <c r="T105" s="169">
        <f t="shared" si="51"/>
        <v>0</v>
      </c>
      <c r="U105" s="112" t="s">
        <v>418</v>
      </c>
      <c r="V105" s="100"/>
      <c r="W105" s="84"/>
      <c r="X105" s="84"/>
      <c r="Y105" s="84"/>
      <c r="Z105" s="95"/>
      <c r="AA105" s="96"/>
    </row>
    <row r="106" spans="1:27" s="92" customFormat="1" ht="199.5" customHeight="1" x14ac:dyDescent="0.4">
      <c r="A106" s="218" t="s">
        <v>377</v>
      </c>
      <c r="B106" s="169">
        <v>54607.424780000001</v>
      </c>
      <c r="C106" s="111">
        <v>54607.424780000001</v>
      </c>
      <c r="D106" s="111">
        <f t="shared" si="48"/>
        <v>54632.206310000001</v>
      </c>
      <c r="E106" s="111">
        <f t="shared" si="48"/>
        <v>51507.969000000005</v>
      </c>
      <c r="F106" s="111">
        <v>0</v>
      </c>
      <c r="G106" s="111">
        <v>0</v>
      </c>
      <c r="H106" s="111">
        <v>0</v>
      </c>
      <c r="I106" s="111">
        <v>0</v>
      </c>
      <c r="J106" s="111">
        <v>54117.126609999999</v>
      </c>
      <c r="K106" s="111">
        <v>50992.889300000003</v>
      </c>
      <c r="L106" s="111">
        <v>515.0797</v>
      </c>
      <c r="M106" s="111">
        <v>515.0797</v>
      </c>
      <c r="N106" s="111">
        <v>0</v>
      </c>
      <c r="O106" s="111">
        <v>0</v>
      </c>
      <c r="P106" s="72" t="s">
        <v>375</v>
      </c>
      <c r="Q106" s="169" t="s">
        <v>242</v>
      </c>
      <c r="R106" s="169" t="s">
        <v>242</v>
      </c>
      <c r="S106" s="169" t="s">
        <v>52</v>
      </c>
      <c r="T106" s="169" t="s">
        <v>52</v>
      </c>
      <c r="U106" s="112" t="s">
        <v>412</v>
      </c>
      <c r="V106" s="100"/>
      <c r="W106" s="84"/>
      <c r="X106" s="84"/>
      <c r="Y106" s="84"/>
      <c r="Z106" s="95"/>
      <c r="AA106" s="96"/>
    </row>
    <row r="107" spans="1:27" s="92" customFormat="1" ht="221.25" customHeight="1" x14ac:dyDescent="0.4">
      <c r="A107" s="218" t="s">
        <v>382</v>
      </c>
      <c r="B107" s="169">
        <v>35894.723429999998</v>
      </c>
      <c r="C107" s="192">
        <v>35894.723429999998</v>
      </c>
      <c r="D107" s="111">
        <f t="shared" si="48"/>
        <v>35894.723429999998</v>
      </c>
      <c r="E107" s="111">
        <f t="shared" si="48"/>
        <v>35894.723429999998</v>
      </c>
      <c r="F107" s="111">
        <v>0</v>
      </c>
      <c r="G107" s="111">
        <v>0</v>
      </c>
      <c r="H107" s="111">
        <v>0</v>
      </c>
      <c r="I107" s="111">
        <v>0</v>
      </c>
      <c r="J107" s="111">
        <v>35535.7762</v>
      </c>
      <c r="K107" s="111">
        <v>35535.7762</v>
      </c>
      <c r="L107" s="111">
        <v>358.94722999999999</v>
      </c>
      <c r="M107" s="111">
        <v>358.94722999999999</v>
      </c>
      <c r="N107" s="111">
        <v>0</v>
      </c>
      <c r="O107" s="111">
        <v>0</v>
      </c>
      <c r="P107" s="72" t="s">
        <v>375</v>
      </c>
      <c r="Q107" s="169" t="s">
        <v>242</v>
      </c>
      <c r="R107" s="169">
        <v>0.66600000000000004</v>
      </c>
      <c r="S107" s="169">
        <v>0</v>
      </c>
      <c r="T107" s="169">
        <f t="shared" si="51"/>
        <v>-100</v>
      </c>
      <c r="U107" s="209" t="s">
        <v>436</v>
      </c>
      <c r="V107" s="100"/>
      <c r="W107" s="84"/>
      <c r="X107" s="84"/>
      <c r="Y107" s="84"/>
      <c r="Z107" s="95"/>
      <c r="AA107" s="96"/>
    </row>
    <row r="108" spans="1:27" s="88" customFormat="1" ht="62.25" customHeight="1" x14ac:dyDescent="0.45">
      <c r="A108" s="217" t="s">
        <v>306</v>
      </c>
      <c r="B108" s="139">
        <f>B100</f>
        <v>192853.21899999998</v>
      </c>
      <c r="C108" s="190">
        <f>C100</f>
        <v>192853.21899999998</v>
      </c>
      <c r="D108" s="190">
        <f t="shared" si="48"/>
        <v>192387.09208</v>
      </c>
      <c r="E108" s="190">
        <f t="shared" si="48"/>
        <v>187591.39416</v>
      </c>
      <c r="F108" s="190">
        <f t="shared" ref="F108:O108" si="54">F100</f>
        <v>0</v>
      </c>
      <c r="G108" s="190">
        <f t="shared" si="54"/>
        <v>0</v>
      </c>
      <c r="H108" s="190">
        <f t="shared" si="54"/>
        <v>0</v>
      </c>
      <c r="I108" s="190">
        <f t="shared" si="54"/>
        <v>0</v>
      </c>
      <c r="J108" s="190">
        <f t="shared" si="54"/>
        <v>189083.46961</v>
      </c>
      <c r="K108" s="190">
        <f t="shared" si="54"/>
        <v>184287.77168999999</v>
      </c>
      <c r="L108" s="190">
        <f t="shared" si="54"/>
        <v>3303.6224699999993</v>
      </c>
      <c r="M108" s="190">
        <f t="shared" si="54"/>
        <v>3303.6224699999993</v>
      </c>
      <c r="N108" s="190">
        <f t="shared" si="54"/>
        <v>0</v>
      </c>
      <c r="O108" s="190">
        <f t="shared" si="54"/>
        <v>0</v>
      </c>
      <c r="P108" s="72"/>
      <c r="Q108" s="169"/>
      <c r="R108" s="169"/>
      <c r="S108" s="138"/>
      <c r="T108" s="169"/>
      <c r="U108" s="77"/>
      <c r="V108" s="87"/>
      <c r="W108" s="84"/>
      <c r="X108" s="84"/>
      <c r="Y108" s="84"/>
      <c r="Z108" s="84"/>
      <c r="AA108" s="83"/>
    </row>
    <row r="109" spans="1:27" s="88" customFormat="1" ht="129" customHeight="1" x14ac:dyDescent="0.45">
      <c r="A109" s="218" t="s">
        <v>307</v>
      </c>
      <c r="B109" s="169">
        <v>13139.2</v>
      </c>
      <c r="C109" s="111">
        <f>1451.461+5446.6+1313.1+4928</f>
        <v>13139.161</v>
      </c>
      <c r="D109" s="111">
        <f>F109+H109+J109+L109+N109</f>
        <v>15487.83092</v>
      </c>
      <c r="E109" s="111">
        <f>G109+I109+K109+M109+O109</f>
        <v>15316.273120000002</v>
      </c>
      <c r="F109" s="111">
        <f>5446.6+2733.34168</f>
        <v>8179.9416799999999</v>
      </c>
      <c r="G109" s="111">
        <f>5446.59992+2597.87898</f>
        <v>8044.4789000000001</v>
      </c>
      <c r="H109" s="111">
        <v>0</v>
      </c>
      <c r="I109" s="111">
        <v>0</v>
      </c>
      <c r="J109" s="111">
        <f>728.31797+1451.461</f>
        <v>2179.7789699999998</v>
      </c>
      <c r="K109" s="111">
        <f>1451.46097+692.22298</f>
        <v>2143.6839500000001</v>
      </c>
      <c r="L109" s="111">
        <v>2379.4004400000003</v>
      </c>
      <c r="M109" s="111">
        <v>2379.4004400000003</v>
      </c>
      <c r="N109" s="111">
        <v>2748.7098299999998</v>
      </c>
      <c r="O109" s="111">
        <v>2748.7098299999998</v>
      </c>
      <c r="P109" s="72" t="s">
        <v>325</v>
      </c>
      <c r="Q109" s="169" t="s">
        <v>242</v>
      </c>
      <c r="R109" s="169">
        <v>8</v>
      </c>
      <c r="S109" s="169">
        <v>16</v>
      </c>
      <c r="T109" s="169">
        <f t="shared" si="51"/>
        <v>100</v>
      </c>
      <c r="U109" s="112" t="s">
        <v>418</v>
      </c>
      <c r="V109" s="87"/>
      <c r="W109" s="84"/>
      <c r="X109" s="84"/>
      <c r="Y109" s="84"/>
      <c r="Z109" s="84"/>
      <c r="AA109" s="83"/>
    </row>
    <row r="110" spans="1:27" s="88" customFormat="1" ht="132.75" customHeight="1" x14ac:dyDescent="0.4">
      <c r="A110" s="218" t="s">
        <v>395</v>
      </c>
      <c r="B110" s="169">
        <f>B111+B112+B113+B114</f>
        <v>84115.700000000012</v>
      </c>
      <c r="C110" s="111">
        <f>C111+C112+C113+C114</f>
        <v>84115.641180000006</v>
      </c>
      <c r="D110" s="111">
        <f>F110+H110+J110+L110+N110</f>
        <v>45485.654930000004</v>
      </c>
      <c r="E110" s="111">
        <f>G110+I110+K110+M110+O110</f>
        <v>44711.087560000014</v>
      </c>
      <c r="F110" s="111">
        <f>F111+F112+F113+F114</f>
        <v>35209.677360000001</v>
      </c>
      <c r="G110" s="111">
        <f t="shared" ref="G110:O110" si="55">G111+G112+G113+G114</f>
        <v>35209.676390000008</v>
      </c>
      <c r="H110" s="111">
        <f t="shared" si="55"/>
        <v>0</v>
      </c>
      <c r="I110" s="111">
        <f t="shared" si="55"/>
        <v>0</v>
      </c>
      <c r="J110" s="111">
        <f t="shared" si="55"/>
        <v>5532.3989800000008</v>
      </c>
      <c r="K110" s="111">
        <f t="shared" si="55"/>
        <v>5532.3989500000007</v>
      </c>
      <c r="L110" s="111">
        <f t="shared" si="55"/>
        <v>2195.2385899999999</v>
      </c>
      <c r="M110" s="111">
        <f t="shared" si="55"/>
        <v>1420.6722200000002</v>
      </c>
      <c r="N110" s="111">
        <f t="shared" si="55"/>
        <v>2548.34</v>
      </c>
      <c r="O110" s="111">
        <f t="shared" si="55"/>
        <v>2548.34</v>
      </c>
      <c r="P110" s="72" t="s">
        <v>327</v>
      </c>
      <c r="Q110" s="169" t="s">
        <v>242</v>
      </c>
      <c r="R110" s="169">
        <v>1</v>
      </c>
      <c r="S110" s="169">
        <v>1</v>
      </c>
      <c r="T110" s="169">
        <f t="shared" si="51"/>
        <v>0</v>
      </c>
      <c r="U110" s="112" t="s">
        <v>418</v>
      </c>
      <c r="V110" s="107"/>
      <c r="W110" s="84"/>
      <c r="X110" s="84"/>
      <c r="Y110" s="84"/>
      <c r="Z110" s="84"/>
      <c r="AA110" s="83"/>
    </row>
    <row r="111" spans="1:27" s="88" customFormat="1" ht="183" customHeight="1" x14ac:dyDescent="0.45">
      <c r="A111" s="206" t="s">
        <v>369</v>
      </c>
      <c r="B111" s="139">
        <v>29956.5</v>
      </c>
      <c r="C111" s="190">
        <f>24564.3+5392.16412</f>
        <v>29956.464120000001</v>
      </c>
      <c r="D111" s="190">
        <f t="shared" si="48"/>
        <v>31887.514759999998</v>
      </c>
      <c r="E111" s="190">
        <f t="shared" si="48"/>
        <v>31887.514759999998</v>
      </c>
      <c r="F111" s="190">
        <v>23562.08092</v>
      </c>
      <c r="G111" s="190">
        <v>23562.08092</v>
      </c>
      <c r="H111" s="190">
        <v>0</v>
      </c>
      <c r="I111" s="190">
        <v>0</v>
      </c>
      <c r="J111" s="190">
        <v>5172.1647800000001</v>
      </c>
      <c r="K111" s="190">
        <v>5172.1647800000001</v>
      </c>
      <c r="L111" s="190">
        <v>604.92906000000005</v>
      </c>
      <c r="M111" s="190">
        <v>604.92906000000005</v>
      </c>
      <c r="N111" s="190">
        <v>2548.34</v>
      </c>
      <c r="O111" s="190">
        <v>2548.34</v>
      </c>
      <c r="P111" s="111" t="s">
        <v>370</v>
      </c>
      <c r="Q111" s="169" t="s">
        <v>242</v>
      </c>
      <c r="R111" s="169">
        <v>16.844000000000001</v>
      </c>
      <c r="S111" s="169">
        <v>16.84</v>
      </c>
      <c r="T111" s="169">
        <f t="shared" si="51"/>
        <v>-2.3747328425557157E-2</v>
      </c>
      <c r="U111" s="111" t="s">
        <v>418</v>
      </c>
      <c r="V111" s="87"/>
      <c r="W111" s="84"/>
      <c r="X111" s="84"/>
      <c r="Y111" s="84"/>
      <c r="Z111" s="84"/>
      <c r="AA111" s="83"/>
    </row>
    <row r="112" spans="1:27" s="88" customFormat="1" ht="141" customHeight="1" x14ac:dyDescent="0.45">
      <c r="A112" s="205" t="s">
        <v>384</v>
      </c>
      <c r="B112" s="139">
        <v>50461.1</v>
      </c>
      <c r="C112" s="190">
        <v>50461.137060000001</v>
      </c>
      <c r="D112" s="190">
        <f t="shared" si="48"/>
        <v>9237.0551699999996</v>
      </c>
      <c r="E112" s="190">
        <f t="shared" si="48"/>
        <v>8462.487799999999</v>
      </c>
      <c r="F112" s="190">
        <v>8060.4964399999999</v>
      </c>
      <c r="G112" s="190">
        <v>8060.4954699999998</v>
      </c>
      <c r="H112" s="190">
        <v>0</v>
      </c>
      <c r="I112" s="190">
        <v>0</v>
      </c>
      <c r="J112" s="190">
        <v>249.29419999999999</v>
      </c>
      <c r="K112" s="190">
        <v>249.29417000000001</v>
      </c>
      <c r="L112" s="190">
        <v>927.26453000000004</v>
      </c>
      <c r="M112" s="190">
        <v>152.69816</v>
      </c>
      <c r="N112" s="190">
        <v>0</v>
      </c>
      <c r="O112" s="190">
        <v>0</v>
      </c>
      <c r="P112" s="111" t="s">
        <v>370</v>
      </c>
      <c r="Q112" s="169" t="s">
        <v>242</v>
      </c>
      <c r="R112" s="169" t="s">
        <v>242</v>
      </c>
      <c r="S112" s="169" t="s">
        <v>52</v>
      </c>
      <c r="T112" s="169" t="s">
        <v>52</v>
      </c>
      <c r="U112" s="111" t="s">
        <v>402</v>
      </c>
      <c r="V112" s="87"/>
      <c r="W112" s="84"/>
      <c r="X112" s="84"/>
      <c r="Y112" s="84"/>
      <c r="Z112" s="84"/>
      <c r="AA112" s="83"/>
    </row>
    <row r="113" spans="1:27" s="88" customFormat="1" ht="156.75" customHeight="1" x14ac:dyDescent="0.45">
      <c r="A113" s="206" t="s">
        <v>371</v>
      </c>
      <c r="B113" s="139">
        <v>1849.05</v>
      </c>
      <c r="C113" s="190">
        <v>1849.02</v>
      </c>
      <c r="D113" s="111">
        <f t="shared" si="48"/>
        <v>2180.5425</v>
      </c>
      <c r="E113" s="111">
        <f t="shared" si="48"/>
        <v>2180.5425</v>
      </c>
      <c r="F113" s="111">
        <v>1793.55</v>
      </c>
      <c r="G113" s="111">
        <v>1793.55</v>
      </c>
      <c r="H113" s="111">
        <v>0</v>
      </c>
      <c r="I113" s="111">
        <v>0</v>
      </c>
      <c r="J113" s="111">
        <v>55.47</v>
      </c>
      <c r="K113" s="111">
        <v>55.47</v>
      </c>
      <c r="L113" s="111">
        <v>331.52249999999998</v>
      </c>
      <c r="M113" s="111">
        <v>331.52249999999998</v>
      </c>
      <c r="N113" s="111">
        <v>0</v>
      </c>
      <c r="O113" s="111">
        <v>0</v>
      </c>
      <c r="P113" s="111" t="s">
        <v>372</v>
      </c>
      <c r="Q113" s="169" t="s">
        <v>242</v>
      </c>
      <c r="R113" s="169">
        <v>1</v>
      </c>
      <c r="S113" s="169">
        <v>1</v>
      </c>
      <c r="T113" s="169">
        <f t="shared" si="51"/>
        <v>0</v>
      </c>
      <c r="U113" s="111" t="s">
        <v>418</v>
      </c>
      <c r="V113" s="87"/>
      <c r="W113" s="84"/>
      <c r="X113" s="84"/>
      <c r="Y113" s="84"/>
      <c r="Z113" s="84"/>
      <c r="AA113" s="83"/>
    </row>
    <row r="114" spans="1:27" s="88" customFormat="1" ht="90.75" customHeight="1" x14ac:dyDescent="0.45">
      <c r="A114" s="206" t="s">
        <v>373</v>
      </c>
      <c r="B114" s="139">
        <v>1849.05</v>
      </c>
      <c r="C114" s="190">
        <v>1849.02</v>
      </c>
      <c r="D114" s="111">
        <f t="shared" si="48"/>
        <v>2180.5425</v>
      </c>
      <c r="E114" s="111">
        <f t="shared" si="48"/>
        <v>2180.5425</v>
      </c>
      <c r="F114" s="111">
        <v>1793.55</v>
      </c>
      <c r="G114" s="111">
        <v>1793.55</v>
      </c>
      <c r="H114" s="111">
        <v>0</v>
      </c>
      <c r="I114" s="111">
        <v>0</v>
      </c>
      <c r="J114" s="111">
        <v>55.47</v>
      </c>
      <c r="K114" s="111">
        <v>55.47</v>
      </c>
      <c r="L114" s="111">
        <v>331.52249999999998</v>
      </c>
      <c r="M114" s="111">
        <v>331.52249999999998</v>
      </c>
      <c r="N114" s="111">
        <v>0</v>
      </c>
      <c r="O114" s="111">
        <v>0</v>
      </c>
      <c r="P114" s="111" t="s">
        <v>372</v>
      </c>
      <c r="Q114" s="169" t="s">
        <v>242</v>
      </c>
      <c r="R114" s="169">
        <v>1</v>
      </c>
      <c r="S114" s="169">
        <v>1</v>
      </c>
      <c r="T114" s="169">
        <f t="shared" ref="T114" si="56">S114/R114*100-100</f>
        <v>0</v>
      </c>
      <c r="U114" s="111" t="s">
        <v>418</v>
      </c>
      <c r="V114" s="87"/>
      <c r="W114" s="84"/>
      <c r="X114" s="84"/>
      <c r="Y114" s="84"/>
      <c r="Z114" s="84"/>
      <c r="AA114" s="83"/>
    </row>
    <row r="115" spans="1:27" s="88" customFormat="1" ht="45" customHeight="1" x14ac:dyDescent="0.45">
      <c r="A115" s="220" t="s">
        <v>306</v>
      </c>
      <c r="B115" s="139">
        <f>B111+B112</f>
        <v>80417.600000000006</v>
      </c>
      <c r="C115" s="190">
        <f>C111+C112</f>
        <v>80417.601179999998</v>
      </c>
      <c r="D115" s="190">
        <f t="shared" ref="D115" si="57">F115+H115+J115+L115+N115</f>
        <v>41124.569929999998</v>
      </c>
      <c r="E115" s="190">
        <f>G115+I115+K115+M115+O115</f>
        <v>40350.002560000008</v>
      </c>
      <c r="F115" s="190">
        <f>F111+F112</f>
        <v>31622.577359999999</v>
      </c>
      <c r="G115" s="190">
        <f t="shared" ref="G115:O115" si="58">G111+G112</f>
        <v>31622.576390000002</v>
      </c>
      <c r="H115" s="190">
        <f t="shared" si="58"/>
        <v>0</v>
      </c>
      <c r="I115" s="190">
        <f t="shared" si="58"/>
        <v>0</v>
      </c>
      <c r="J115" s="190">
        <f t="shared" si="58"/>
        <v>5421.4589800000003</v>
      </c>
      <c r="K115" s="190">
        <f t="shared" si="58"/>
        <v>5421.4589500000002</v>
      </c>
      <c r="L115" s="190">
        <f t="shared" si="58"/>
        <v>1532.1935900000001</v>
      </c>
      <c r="M115" s="190">
        <f t="shared" si="58"/>
        <v>757.62722000000008</v>
      </c>
      <c r="N115" s="190">
        <f t="shared" si="58"/>
        <v>2548.34</v>
      </c>
      <c r="O115" s="190">
        <f t="shared" si="58"/>
        <v>2548.34</v>
      </c>
      <c r="P115" s="111"/>
      <c r="Q115" s="169"/>
      <c r="R115" s="138"/>
      <c r="S115" s="138"/>
      <c r="T115" s="138"/>
      <c r="U115" s="108"/>
      <c r="V115" s="87"/>
      <c r="W115" s="84"/>
      <c r="X115" s="84"/>
      <c r="Y115" s="84"/>
      <c r="Z115" s="84"/>
      <c r="AA115" s="83"/>
    </row>
    <row r="116" spans="1:27" s="88" customFormat="1" ht="222" customHeight="1" x14ac:dyDescent="0.45">
      <c r="A116" s="221" t="s">
        <v>308</v>
      </c>
      <c r="B116" s="166">
        <f>B117</f>
        <v>9123.2999999999993</v>
      </c>
      <c r="C116" s="167">
        <f t="shared" ref="C116:O116" si="59">C117</f>
        <v>9123.2999999999993</v>
      </c>
      <c r="D116" s="167">
        <f>F116+H116+J116+L116+N116</f>
        <v>16770.491029999997</v>
      </c>
      <c r="E116" s="167">
        <f t="shared" si="48"/>
        <v>16770.491029999997</v>
      </c>
      <c r="F116" s="167">
        <f t="shared" si="59"/>
        <v>4083.3</v>
      </c>
      <c r="G116" s="167">
        <f t="shared" si="59"/>
        <v>4083.3</v>
      </c>
      <c r="H116" s="167">
        <f t="shared" si="59"/>
        <v>0</v>
      </c>
      <c r="I116" s="167">
        <f t="shared" si="59"/>
        <v>0</v>
      </c>
      <c r="J116" s="167">
        <f t="shared" si="59"/>
        <v>5040</v>
      </c>
      <c r="K116" s="167">
        <f t="shared" si="59"/>
        <v>5040</v>
      </c>
      <c r="L116" s="167">
        <f t="shared" si="59"/>
        <v>161.56536</v>
      </c>
      <c r="M116" s="167">
        <f t="shared" si="59"/>
        <v>161.56536</v>
      </c>
      <c r="N116" s="167">
        <f t="shared" si="59"/>
        <v>7485.6256699999994</v>
      </c>
      <c r="O116" s="167">
        <f t="shared" si="59"/>
        <v>7485.6256699999994</v>
      </c>
      <c r="P116" s="111" t="s">
        <v>326</v>
      </c>
      <c r="Q116" s="169">
        <v>1.74</v>
      </c>
      <c r="R116" s="169">
        <v>2.04</v>
      </c>
      <c r="S116" s="169">
        <v>2.044</v>
      </c>
      <c r="T116" s="169">
        <f>S116-R116</f>
        <v>4.0000000000000036E-3</v>
      </c>
      <c r="U116" s="111" t="s">
        <v>418</v>
      </c>
      <c r="V116" s="87"/>
      <c r="W116" s="84"/>
      <c r="X116" s="84"/>
      <c r="Y116" s="84"/>
      <c r="Z116" s="84"/>
      <c r="AA116" s="83"/>
    </row>
    <row r="117" spans="1:27" s="88" customFormat="1" ht="129" customHeight="1" x14ac:dyDescent="0.4">
      <c r="A117" s="205" t="s">
        <v>309</v>
      </c>
      <c r="B117" s="169">
        <f>B119+B120</f>
        <v>9123.2999999999993</v>
      </c>
      <c r="C117" s="111">
        <f>C119+C120</f>
        <v>9123.2999999999993</v>
      </c>
      <c r="D117" s="111">
        <f t="shared" ref="D117:O117" si="60">D119+D120</f>
        <v>16770.491029999997</v>
      </c>
      <c r="E117" s="111">
        <f t="shared" si="60"/>
        <v>16770.491029999997</v>
      </c>
      <c r="F117" s="111">
        <f t="shared" si="60"/>
        <v>4083.3</v>
      </c>
      <c r="G117" s="111">
        <f t="shared" si="60"/>
        <v>4083.3</v>
      </c>
      <c r="H117" s="111">
        <f t="shared" si="60"/>
        <v>0</v>
      </c>
      <c r="I117" s="111">
        <f t="shared" si="60"/>
        <v>0</v>
      </c>
      <c r="J117" s="111">
        <f t="shared" si="60"/>
        <v>5040</v>
      </c>
      <c r="K117" s="111">
        <f t="shared" si="60"/>
        <v>5040</v>
      </c>
      <c r="L117" s="111">
        <f t="shared" si="60"/>
        <v>161.56536</v>
      </c>
      <c r="M117" s="111">
        <f t="shared" si="60"/>
        <v>161.56536</v>
      </c>
      <c r="N117" s="111">
        <f t="shared" si="60"/>
        <v>7485.6256699999994</v>
      </c>
      <c r="O117" s="111">
        <f t="shared" si="60"/>
        <v>7485.6256699999994</v>
      </c>
      <c r="P117" s="111" t="s">
        <v>332</v>
      </c>
      <c r="Q117" s="169">
        <v>0.54</v>
      </c>
      <c r="R117" s="169">
        <v>0.4</v>
      </c>
      <c r="S117" s="169">
        <f>S119+S120</f>
        <v>0.83000000000000007</v>
      </c>
      <c r="T117" s="169" t="s">
        <v>441</v>
      </c>
      <c r="U117" s="111" t="s">
        <v>418</v>
      </c>
      <c r="V117" s="101"/>
      <c r="W117" s="84"/>
      <c r="X117" s="84"/>
      <c r="Y117" s="84"/>
      <c r="Z117" s="84"/>
      <c r="AA117" s="83"/>
    </row>
    <row r="118" spans="1:27" s="88" customFormat="1" ht="28.5" customHeight="1" x14ac:dyDescent="0.4">
      <c r="A118" s="283" t="s">
        <v>367</v>
      </c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5"/>
      <c r="V118" s="101"/>
      <c r="W118" s="84"/>
      <c r="X118" s="84"/>
      <c r="Y118" s="84"/>
      <c r="Z118" s="84"/>
      <c r="AA118" s="83"/>
    </row>
    <row r="119" spans="1:27" s="88" customFormat="1" ht="115.5" customHeight="1" x14ac:dyDescent="0.4">
      <c r="A119" s="205" t="s">
        <v>404</v>
      </c>
      <c r="B119" s="169">
        <v>1632</v>
      </c>
      <c r="C119" s="111">
        <v>1632.0217399999999</v>
      </c>
      <c r="D119" s="111">
        <f t="shared" si="48"/>
        <v>2454.1680300000003</v>
      </c>
      <c r="E119" s="111">
        <f t="shared" si="48"/>
        <v>2454.1680300000003</v>
      </c>
      <c r="F119" s="111">
        <v>730.44122000000004</v>
      </c>
      <c r="G119" s="111">
        <v>730.44122000000004</v>
      </c>
      <c r="H119" s="111">
        <v>0</v>
      </c>
      <c r="I119" s="111">
        <v>0</v>
      </c>
      <c r="J119" s="111">
        <v>901.58051999999998</v>
      </c>
      <c r="K119" s="111">
        <v>901.58051999999998</v>
      </c>
      <c r="L119" s="111">
        <v>85.895880000000005</v>
      </c>
      <c r="M119" s="111">
        <v>85.895880000000005</v>
      </c>
      <c r="N119" s="111">
        <v>736.25040999999999</v>
      </c>
      <c r="O119" s="111">
        <v>736.25040999999999</v>
      </c>
      <c r="P119" s="111" t="s">
        <v>332</v>
      </c>
      <c r="Q119" s="169" t="s">
        <v>242</v>
      </c>
      <c r="R119" s="169">
        <v>0.1</v>
      </c>
      <c r="S119" s="169">
        <v>0.18</v>
      </c>
      <c r="T119" s="169">
        <f t="shared" ref="T119:T122" si="61">S119/R119*100-100</f>
        <v>79.999999999999972</v>
      </c>
      <c r="U119" s="111" t="s">
        <v>418</v>
      </c>
      <c r="V119" s="101"/>
      <c r="W119" s="84"/>
      <c r="X119" s="84"/>
      <c r="Y119" s="84"/>
      <c r="Z119" s="84"/>
      <c r="AA119" s="83"/>
    </row>
    <row r="120" spans="1:27" s="88" customFormat="1" ht="112.5" customHeight="1" x14ac:dyDescent="0.4">
      <c r="A120" s="205" t="s">
        <v>368</v>
      </c>
      <c r="B120" s="169">
        <v>7491.3</v>
      </c>
      <c r="C120" s="111">
        <v>7491.27826</v>
      </c>
      <c r="D120" s="111">
        <f t="shared" si="48"/>
        <v>14316.322999999999</v>
      </c>
      <c r="E120" s="111">
        <f t="shared" si="48"/>
        <v>14316.322999999999</v>
      </c>
      <c r="F120" s="111">
        <v>3352.85878</v>
      </c>
      <c r="G120" s="111">
        <v>3352.85878</v>
      </c>
      <c r="H120" s="111">
        <v>0</v>
      </c>
      <c r="I120" s="111">
        <v>0</v>
      </c>
      <c r="J120" s="111">
        <v>4138.4194799999996</v>
      </c>
      <c r="K120" s="111">
        <v>4138.4194799999996</v>
      </c>
      <c r="L120" s="111">
        <v>75.669479999999993</v>
      </c>
      <c r="M120" s="111">
        <v>75.669479999999993</v>
      </c>
      <c r="N120" s="111">
        <v>6749.3752599999998</v>
      </c>
      <c r="O120" s="111">
        <v>6749.3752599999998</v>
      </c>
      <c r="P120" s="111" t="s">
        <v>332</v>
      </c>
      <c r="Q120" s="169" t="s">
        <v>242</v>
      </c>
      <c r="R120" s="169">
        <v>0.3</v>
      </c>
      <c r="S120" s="169">
        <v>0.65</v>
      </c>
      <c r="T120" s="169" t="s">
        <v>434</v>
      </c>
      <c r="U120" s="111" t="s">
        <v>418</v>
      </c>
      <c r="V120" s="101"/>
      <c r="W120" s="84"/>
      <c r="X120" s="84"/>
      <c r="Y120" s="84"/>
      <c r="Z120" s="84"/>
      <c r="AA120" s="83"/>
    </row>
    <row r="121" spans="1:27" s="88" customFormat="1" ht="131.25" customHeight="1" x14ac:dyDescent="0.45">
      <c r="A121" s="221" t="s">
        <v>310</v>
      </c>
      <c r="B121" s="166">
        <f>B122</f>
        <v>81</v>
      </c>
      <c r="C121" s="167">
        <f t="shared" ref="C121:O121" si="62">C122</f>
        <v>81.048599999999993</v>
      </c>
      <c r="D121" s="167">
        <f t="shared" si="48"/>
        <v>80.986800000000002</v>
      </c>
      <c r="E121" s="167">
        <f t="shared" si="48"/>
        <v>80.986800000000002</v>
      </c>
      <c r="F121" s="167">
        <f t="shared" si="62"/>
        <v>78.54007</v>
      </c>
      <c r="G121" s="167">
        <f t="shared" si="62"/>
        <v>78.54007</v>
      </c>
      <c r="H121" s="167">
        <f t="shared" si="62"/>
        <v>0</v>
      </c>
      <c r="I121" s="167">
        <f t="shared" si="62"/>
        <v>0</v>
      </c>
      <c r="J121" s="167">
        <f t="shared" si="62"/>
        <v>2.4467300000000001</v>
      </c>
      <c r="K121" s="167">
        <f t="shared" si="62"/>
        <v>2.4467300000000001</v>
      </c>
      <c r="L121" s="167">
        <f t="shared" si="62"/>
        <v>0</v>
      </c>
      <c r="M121" s="167">
        <f t="shared" si="62"/>
        <v>0</v>
      </c>
      <c r="N121" s="167">
        <f t="shared" si="62"/>
        <v>0</v>
      </c>
      <c r="O121" s="167">
        <f t="shared" si="62"/>
        <v>0</v>
      </c>
      <c r="P121" s="111" t="s">
        <v>359</v>
      </c>
      <c r="Q121" s="169" t="s">
        <v>242</v>
      </c>
      <c r="R121" s="169">
        <v>2</v>
      </c>
      <c r="S121" s="169">
        <v>3</v>
      </c>
      <c r="T121" s="169">
        <f t="shared" si="61"/>
        <v>50</v>
      </c>
      <c r="U121" s="111" t="s">
        <v>418</v>
      </c>
      <c r="V121" s="87"/>
      <c r="W121" s="84"/>
      <c r="X121" s="84"/>
      <c r="Y121" s="84"/>
      <c r="Z121" s="84"/>
      <c r="AA121" s="83"/>
    </row>
    <row r="122" spans="1:27" s="88" customFormat="1" ht="252" customHeight="1" x14ac:dyDescent="0.45">
      <c r="A122" s="205" t="s">
        <v>333</v>
      </c>
      <c r="B122" s="169">
        <v>81</v>
      </c>
      <c r="C122" s="111">
        <v>81.048599999999993</v>
      </c>
      <c r="D122" s="111">
        <f t="shared" si="48"/>
        <v>80.986800000000002</v>
      </c>
      <c r="E122" s="111">
        <f t="shared" si="48"/>
        <v>80.986800000000002</v>
      </c>
      <c r="F122" s="111">
        <v>78.54007</v>
      </c>
      <c r="G122" s="111">
        <v>78.54007</v>
      </c>
      <c r="H122" s="111">
        <v>0</v>
      </c>
      <c r="I122" s="111">
        <v>0</v>
      </c>
      <c r="J122" s="111">
        <v>2.4467300000000001</v>
      </c>
      <c r="K122" s="111">
        <v>2.4467300000000001</v>
      </c>
      <c r="L122" s="111">
        <v>0</v>
      </c>
      <c r="M122" s="111">
        <v>0</v>
      </c>
      <c r="N122" s="111">
        <v>0</v>
      </c>
      <c r="O122" s="111">
        <v>0</v>
      </c>
      <c r="P122" s="111" t="s">
        <v>334</v>
      </c>
      <c r="Q122" s="169" t="s">
        <v>242</v>
      </c>
      <c r="R122" s="169">
        <v>2</v>
      </c>
      <c r="S122" s="169">
        <v>3</v>
      </c>
      <c r="T122" s="169">
        <f t="shared" si="61"/>
        <v>50</v>
      </c>
      <c r="U122" s="111" t="s">
        <v>418</v>
      </c>
      <c r="V122" s="87"/>
      <c r="W122" s="84"/>
      <c r="X122" s="84"/>
      <c r="Y122" s="84"/>
      <c r="Z122" s="84"/>
      <c r="AA122" s="89">
        <f>SUM(Z97:Z122)</f>
        <v>0</v>
      </c>
    </row>
    <row r="123" spans="1:27" s="96" customFormat="1" ht="57.75" customHeight="1" x14ac:dyDescent="0.5">
      <c r="A123" s="221" t="s">
        <v>277</v>
      </c>
      <c r="B123" s="166">
        <f>B98</f>
        <v>299312.41899999999</v>
      </c>
      <c r="C123" s="167">
        <f>C98</f>
        <v>299312.36977999995</v>
      </c>
      <c r="D123" s="167">
        <f>F123+H123+J123+L123+N123</f>
        <v>270212.05576000002</v>
      </c>
      <c r="E123" s="167">
        <f>G123+I123+K123+M123+O123</f>
        <v>264470.23267</v>
      </c>
      <c r="F123" s="167">
        <f t="shared" ref="F123:O123" si="63">F98</f>
        <v>47551.459110000011</v>
      </c>
      <c r="G123" s="167">
        <f t="shared" si="63"/>
        <v>47415.995360000015</v>
      </c>
      <c r="H123" s="167">
        <f t="shared" si="63"/>
        <v>0</v>
      </c>
      <c r="I123" s="167">
        <f t="shared" si="63"/>
        <v>0</v>
      </c>
      <c r="J123" s="167">
        <f t="shared" si="63"/>
        <v>201838.09429000001</v>
      </c>
      <c r="K123" s="167">
        <f t="shared" si="63"/>
        <v>197006.30132</v>
      </c>
      <c r="L123" s="167">
        <f t="shared" si="63"/>
        <v>8039.8268599999992</v>
      </c>
      <c r="M123" s="167">
        <f t="shared" si="63"/>
        <v>7265.2604899999997</v>
      </c>
      <c r="N123" s="167">
        <f t="shared" si="63"/>
        <v>12782.675499999999</v>
      </c>
      <c r="O123" s="167">
        <f t="shared" si="63"/>
        <v>12782.675499999999</v>
      </c>
      <c r="P123" s="167"/>
      <c r="Q123" s="166"/>
      <c r="R123" s="148"/>
      <c r="S123" s="148"/>
      <c r="T123" s="148"/>
      <c r="U123" s="121"/>
      <c r="V123" s="94"/>
      <c r="W123" s="95"/>
      <c r="X123" s="95"/>
      <c r="Y123" s="89"/>
      <c r="Z123" s="91"/>
      <c r="AA123" s="91">
        <f>SUM(AA8:AA122)</f>
        <v>1</v>
      </c>
    </row>
    <row r="124" spans="1:27" s="88" customFormat="1" ht="48" customHeight="1" x14ac:dyDescent="0.45">
      <c r="A124" s="221" t="s">
        <v>246</v>
      </c>
      <c r="B124" s="166">
        <f>B108+B115</f>
        <v>273270.81900000002</v>
      </c>
      <c r="C124" s="167">
        <f>C108+C115</f>
        <v>273270.82017999998</v>
      </c>
      <c r="D124" s="167">
        <f>F124+H124+J124+L124+N124</f>
        <v>233511.66201</v>
      </c>
      <c r="E124" s="167">
        <f>G124+I124+K124+M124+O124</f>
        <v>227941.39671999999</v>
      </c>
      <c r="F124" s="167">
        <f t="shared" ref="F124:O124" si="64">F108+F115</f>
        <v>31622.577359999999</v>
      </c>
      <c r="G124" s="167">
        <f t="shared" si="64"/>
        <v>31622.576390000002</v>
      </c>
      <c r="H124" s="167">
        <f t="shared" si="64"/>
        <v>0</v>
      </c>
      <c r="I124" s="167">
        <f t="shared" si="64"/>
        <v>0</v>
      </c>
      <c r="J124" s="167">
        <f t="shared" si="64"/>
        <v>194504.92859</v>
      </c>
      <c r="K124" s="167">
        <f t="shared" si="64"/>
        <v>189709.23063999999</v>
      </c>
      <c r="L124" s="167">
        <f t="shared" si="64"/>
        <v>4835.8160599999992</v>
      </c>
      <c r="M124" s="167">
        <f t="shared" si="64"/>
        <v>4061.2496899999996</v>
      </c>
      <c r="N124" s="167">
        <f t="shared" si="64"/>
        <v>2548.34</v>
      </c>
      <c r="O124" s="167">
        <f t="shared" si="64"/>
        <v>2548.34</v>
      </c>
      <c r="P124" s="167"/>
      <c r="Q124" s="166"/>
      <c r="R124" s="148"/>
      <c r="S124" s="148"/>
      <c r="T124" s="148"/>
      <c r="U124" s="121"/>
      <c r="V124" s="87"/>
      <c r="W124" s="89"/>
      <c r="X124" s="89"/>
      <c r="Y124" s="89"/>
      <c r="Z124" s="89"/>
    </row>
    <row r="125" spans="1:27" ht="30" customHeight="1" x14ac:dyDescent="0.5">
      <c r="A125" s="254" t="s">
        <v>243</v>
      </c>
      <c r="B125" s="254"/>
      <c r="C125" s="254"/>
      <c r="D125" s="254"/>
      <c r="E125" s="254"/>
      <c r="F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49"/>
      <c r="Q125" s="249"/>
      <c r="R125" s="249"/>
      <c r="S125" s="249"/>
      <c r="T125" s="249"/>
      <c r="U125" s="249"/>
    </row>
    <row r="126" spans="1:27" ht="198.75" customHeight="1" x14ac:dyDescent="0.5">
      <c r="A126" s="205" t="s">
        <v>238</v>
      </c>
      <c r="B126" s="166">
        <v>105106.5</v>
      </c>
      <c r="C126" s="167">
        <v>109742.19391</v>
      </c>
      <c r="D126" s="167">
        <f t="shared" ref="D126:E128" si="65">F126+H126+J126+L126+N126</f>
        <v>109715.22212000001</v>
      </c>
      <c r="E126" s="167">
        <f t="shared" si="65"/>
        <v>108923.74483</v>
      </c>
      <c r="F126" s="111">
        <v>2535.9700400000002</v>
      </c>
      <c r="G126" s="111">
        <v>2535.9700400000002</v>
      </c>
      <c r="H126" s="111">
        <v>0</v>
      </c>
      <c r="I126" s="111">
        <v>0</v>
      </c>
      <c r="J126" s="111">
        <v>107179.25208000001</v>
      </c>
      <c r="K126" s="111">
        <v>106387.77479</v>
      </c>
      <c r="L126" s="111">
        <v>0</v>
      </c>
      <c r="M126" s="111">
        <v>0</v>
      </c>
      <c r="N126" s="111">
        <v>0</v>
      </c>
      <c r="O126" s="111">
        <v>0</v>
      </c>
      <c r="P126" s="287"/>
      <c r="Q126" s="287"/>
      <c r="R126" s="287"/>
      <c r="S126" s="287"/>
      <c r="T126" s="287"/>
      <c r="U126" s="287"/>
    </row>
    <row r="127" spans="1:27" s="96" customFormat="1" ht="78.75" customHeight="1" x14ac:dyDescent="0.5">
      <c r="A127" s="221" t="s">
        <v>276</v>
      </c>
      <c r="B127" s="166">
        <f>B126</f>
        <v>105106.5</v>
      </c>
      <c r="C127" s="167">
        <f>C126</f>
        <v>109742.19391</v>
      </c>
      <c r="D127" s="167">
        <f t="shared" si="65"/>
        <v>109715.22212000001</v>
      </c>
      <c r="E127" s="167">
        <f t="shared" si="65"/>
        <v>108923.74483</v>
      </c>
      <c r="F127" s="167">
        <f t="shared" ref="F127:O127" si="66">F126</f>
        <v>2535.9700400000002</v>
      </c>
      <c r="G127" s="167">
        <f t="shared" si="66"/>
        <v>2535.9700400000002</v>
      </c>
      <c r="H127" s="167">
        <f t="shared" si="66"/>
        <v>0</v>
      </c>
      <c r="I127" s="167">
        <f t="shared" si="66"/>
        <v>0</v>
      </c>
      <c r="J127" s="167">
        <f t="shared" si="66"/>
        <v>107179.25208000001</v>
      </c>
      <c r="K127" s="167">
        <f t="shared" si="66"/>
        <v>106387.77479</v>
      </c>
      <c r="L127" s="167">
        <f t="shared" si="66"/>
        <v>0</v>
      </c>
      <c r="M127" s="167">
        <f t="shared" si="66"/>
        <v>0</v>
      </c>
      <c r="N127" s="167">
        <f t="shared" si="66"/>
        <v>0</v>
      </c>
      <c r="O127" s="167">
        <f t="shared" si="66"/>
        <v>0</v>
      </c>
      <c r="P127" s="287"/>
      <c r="Q127" s="287"/>
      <c r="R127" s="287"/>
      <c r="S127" s="287"/>
      <c r="T127" s="287"/>
      <c r="U127" s="287"/>
      <c r="V127" s="94"/>
      <c r="W127" s="95"/>
      <c r="X127" s="95"/>
      <c r="Y127" s="95"/>
      <c r="Z127" s="95"/>
    </row>
    <row r="128" spans="1:27" s="147" customFormat="1" ht="46.5" customHeight="1" x14ac:dyDescent="0.45">
      <c r="A128" s="221" t="s">
        <v>246</v>
      </c>
      <c r="B128" s="166">
        <v>0</v>
      </c>
      <c r="C128" s="167">
        <v>0</v>
      </c>
      <c r="D128" s="167">
        <f t="shared" si="65"/>
        <v>0</v>
      </c>
      <c r="E128" s="167">
        <f t="shared" si="65"/>
        <v>0</v>
      </c>
      <c r="F128" s="167">
        <v>0</v>
      </c>
      <c r="G128" s="167">
        <v>0</v>
      </c>
      <c r="H128" s="167">
        <v>0</v>
      </c>
      <c r="I128" s="167">
        <v>0</v>
      </c>
      <c r="J128" s="167">
        <v>0</v>
      </c>
      <c r="K128" s="167">
        <v>0</v>
      </c>
      <c r="L128" s="167">
        <v>0</v>
      </c>
      <c r="M128" s="167">
        <v>0</v>
      </c>
      <c r="N128" s="167">
        <v>0</v>
      </c>
      <c r="O128" s="167">
        <v>0</v>
      </c>
      <c r="P128" s="287"/>
      <c r="Q128" s="287"/>
      <c r="R128" s="287"/>
      <c r="S128" s="287"/>
      <c r="T128" s="287"/>
      <c r="U128" s="287"/>
      <c r="V128" s="145"/>
      <c r="W128" s="146"/>
      <c r="X128" s="146"/>
      <c r="Y128" s="146"/>
      <c r="Z128" s="146"/>
    </row>
    <row r="129" spans="1:26" s="92" customFormat="1" ht="83.25" customHeight="1" x14ac:dyDescent="0.45">
      <c r="A129" s="221" t="s">
        <v>245</v>
      </c>
      <c r="B129" s="140">
        <f t="shared" ref="B129:O129" si="67">B8+B95+B127</f>
        <v>1449800.6189999999</v>
      </c>
      <c r="C129" s="193">
        <f t="shared" si="67"/>
        <v>1454311.4389399998</v>
      </c>
      <c r="D129" s="193">
        <f t="shared" si="67"/>
        <v>3704545.9376699999</v>
      </c>
      <c r="E129" s="193">
        <f t="shared" si="67"/>
        <v>3695706.0147099998</v>
      </c>
      <c r="F129" s="193">
        <f t="shared" si="67"/>
        <v>855447.72131000017</v>
      </c>
      <c r="G129" s="193">
        <f t="shared" si="67"/>
        <v>853517.26000000024</v>
      </c>
      <c r="H129" s="193">
        <f t="shared" si="67"/>
        <v>186827.88</v>
      </c>
      <c r="I129" s="193">
        <f t="shared" si="67"/>
        <v>186827.88</v>
      </c>
      <c r="J129" s="193">
        <f t="shared" si="67"/>
        <v>492951.47431000002</v>
      </c>
      <c r="K129" s="193">
        <f t="shared" si="67"/>
        <v>486816.57902999996</v>
      </c>
      <c r="L129" s="193">
        <f t="shared" si="67"/>
        <v>8039.8268599999992</v>
      </c>
      <c r="M129" s="193">
        <f t="shared" si="67"/>
        <v>7265.2604899999997</v>
      </c>
      <c r="N129" s="193">
        <f t="shared" si="67"/>
        <v>2161279.0351899997</v>
      </c>
      <c r="O129" s="193">
        <f t="shared" si="67"/>
        <v>2161279.0351899997</v>
      </c>
      <c r="P129" s="287"/>
      <c r="Q129" s="287"/>
      <c r="R129" s="287"/>
      <c r="S129" s="287"/>
      <c r="T129" s="287"/>
      <c r="U129" s="287"/>
      <c r="V129" s="102"/>
      <c r="W129" s="91"/>
      <c r="X129" s="91"/>
      <c r="Y129" s="91"/>
      <c r="Z129" s="91"/>
    </row>
    <row r="130" spans="1:26" s="88" customFormat="1" ht="51.75" customHeight="1" x14ac:dyDescent="0.4">
      <c r="A130" s="221" t="s">
        <v>246</v>
      </c>
      <c r="B130" s="140">
        <f>B128+B124+B94+B80+B17+B13</f>
        <v>273270.81900000002</v>
      </c>
      <c r="C130" s="193">
        <f>C128+C124+C94+C80+C17+C13</f>
        <v>273270.82017999998</v>
      </c>
      <c r="D130" s="193">
        <f>F130+H130+J130+L130+N130</f>
        <v>418974.24200999999</v>
      </c>
      <c r="E130" s="193">
        <f>G130+I130+K130+M130+O130</f>
        <v>413403.97672000004</v>
      </c>
      <c r="F130" s="193">
        <f>F128+F124+F94+F80+F17+F13</f>
        <v>31622.577359999999</v>
      </c>
      <c r="G130" s="193">
        <f>G128+G124+G94+G80+G17+G13</f>
        <v>31622.576390000002</v>
      </c>
      <c r="H130" s="193">
        <f>H75</f>
        <v>185462.58000000002</v>
      </c>
      <c r="I130" s="193">
        <f>I75</f>
        <v>185462.58000000002</v>
      </c>
      <c r="J130" s="193">
        <f t="shared" ref="J130:O130" si="68">J128+J124+J94+J80+J17+J13</f>
        <v>194504.92859</v>
      </c>
      <c r="K130" s="193">
        <f t="shared" si="68"/>
        <v>189709.23063999999</v>
      </c>
      <c r="L130" s="193">
        <f t="shared" si="68"/>
        <v>4835.8160599999992</v>
      </c>
      <c r="M130" s="193">
        <f t="shared" si="68"/>
        <v>4061.2496899999996</v>
      </c>
      <c r="N130" s="193">
        <f t="shared" si="68"/>
        <v>2548.34</v>
      </c>
      <c r="O130" s="193">
        <f t="shared" si="68"/>
        <v>2548.34</v>
      </c>
      <c r="P130" s="287"/>
      <c r="Q130" s="287"/>
      <c r="R130" s="287"/>
      <c r="S130" s="287"/>
      <c r="T130" s="287"/>
      <c r="U130" s="287"/>
      <c r="V130" s="101"/>
      <c r="W130" s="89"/>
      <c r="X130" s="89"/>
      <c r="Y130" s="89"/>
      <c r="Z130" s="89"/>
    </row>
    <row r="131" spans="1:26" s="88" customFormat="1" ht="18.75" customHeight="1" x14ac:dyDescent="0.4">
      <c r="A131" s="282"/>
      <c r="B131" s="282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101"/>
      <c r="W131" s="89"/>
      <c r="X131" s="89"/>
      <c r="Y131" s="89"/>
      <c r="Z131" s="89"/>
    </row>
    <row r="132" spans="1:26" s="126" customFormat="1" ht="5.25" customHeight="1" x14ac:dyDescent="0.35">
      <c r="A132" s="222"/>
      <c r="B132" s="141"/>
      <c r="C132" s="194"/>
      <c r="D132" s="194"/>
      <c r="E132" s="194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106"/>
      <c r="Q132" s="153"/>
      <c r="R132" s="154"/>
      <c r="S132" s="154"/>
      <c r="T132" s="154"/>
      <c r="U132" s="125"/>
      <c r="V132" s="107"/>
    </row>
    <row r="133" spans="1:26" s="103" customFormat="1" ht="63" customHeight="1" x14ac:dyDescent="0.5">
      <c r="A133" s="222"/>
      <c r="B133" s="142"/>
      <c r="C133" s="195"/>
      <c r="D133" s="195"/>
      <c r="E133" s="195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06"/>
      <c r="Q133" s="155"/>
      <c r="R133" s="156"/>
      <c r="S133" s="156"/>
      <c r="T133" s="156"/>
      <c r="U133" s="118"/>
      <c r="V133" s="82"/>
      <c r="W133" s="84"/>
      <c r="X133" s="84"/>
      <c r="Y133" s="84"/>
      <c r="Z133" s="84"/>
    </row>
    <row r="134" spans="1:26" ht="27.75" customHeight="1" x14ac:dyDescent="0.5">
      <c r="A134" s="223"/>
      <c r="B134" s="142"/>
      <c r="C134" s="195"/>
      <c r="D134" s="195"/>
      <c r="E134" s="195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81"/>
      <c r="Q134" s="155"/>
      <c r="R134" s="156"/>
      <c r="S134" s="156"/>
      <c r="T134" s="156"/>
    </row>
    <row r="135" spans="1:26" x14ac:dyDescent="0.5">
      <c r="A135" s="224"/>
      <c r="B135" s="142"/>
      <c r="C135" s="197"/>
      <c r="D135" s="197"/>
      <c r="E135" s="197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04"/>
      <c r="Q135" s="157"/>
      <c r="R135" s="158"/>
      <c r="S135" s="158"/>
      <c r="T135" s="158"/>
    </row>
    <row r="136" spans="1:26" x14ac:dyDescent="0.5">
      <c r="C136" s="199"/>
      <c r="D136" s="197"/>
      <c r="E136" s="200"/>
      <c r="F136" s="201"/>
      <c r="G136" s="201"/>
      <c r="H136" s="201"/>
      <c r="I136" s="201"/>
      <c r="J136" s="201"/>
      <c r="K136" s="201"/>
      <c r="L136" s="198"/>
      <c r="M136" s="198"/>
      <c r="N136" s="198"/>
      <c r="O136" s="198"/>
      <c r="P136" s="104"/>
    </row>
    <row r="137" spans="1:26" x14ac:dyDescent="0.5">
      <c r="C137" s="202"/>
      <c r="D137" s="197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  <c r="P137" s="104"/>
    </row>
    <row r="138" spans="1:26" x14ac:dyDescent="0.5">
      <c r="A138" s="226"/>
      <c r="B138" s="144"/>
      <c r="C138" s="198"/>
      <c r="D138" s="197"/>
      <c r="E138" s="200"/>
      <c r="F138" s="201"/>
      <c r="G138" s="201"/>
      <c r="H138" s="201"/>
      <c r="I138" s="201"/>
      <c r="J138" s="201"/>
      <c r="K138" s="201"/>
      <c r="L138" s="198"/>
      <c r="M138" s="198"/>
      <c r="N138" s="198"/>
      <c r="O138" s="198"/>
      <c r="P138" s="104"/>
      <c r="U138" s="120"/>
    </row>
    <row r="139" spans="1:26" x14ac:dyDescent="0.5">
      <c r="A139" s="226"/>
      <c r="B139" s="144"/>
      <c r="C139" s="198"/>
      <c r="D139" s="197"/>
      <c r="E139" s="197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04"/>
      <c r="U139" s="120"/>
    </row>
    <row r="140" spans="1:26" x14ac:dyDescent="0.5">
      <c r="C140" s="202"/>
      <c r="D140" s="197"/>
      <c r="E140" s="197"/>
      <c r="F140" s="201"/>
      <c r="G140" s="201"/>
      <c r="H140" s="201"/>
      <c r="I140" s="201"/>
      <c r="J140" s="201"/>
      <c r="K140" s="201"/>
      <c r="L140" s="198"/>
      <c r="M140" s="198"/>
      <c r="N140" s="198"/>
      <c r="O140" s="198"/>
      <c r="P140" s="104"/>
    </row>
    <row r="141" spans="1:26" x14ac:dyDescent="0.5">
      <c r="C141" s="202"/>
      <c r="D141" s="197"/>
      <c r="E141" s="197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  <c r="P141" s="104"/>
    </row>
  </sheetData>
  <mergeCells count="262">
    <mergeCell ref="P14:P15"/>
    <mergeCell ref="Q14:Q15"/>
    <mergeCell ref="R14:R15"/>
    <mergeCell ref="S14:S15"/>
    <mergeCell ref="T14:T15"/>
    <mergeCell ref="U14:U15"/>
    <mergeCell ref="B21:B22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C40:C41"/>
    <mergeCell ref="B40:B41"/>
    <mergeCell ref="A40:A41"/>
    <mergeCell ref="A14:A15"/>
    <mergeCell ref="B14:B15"/>
    <mergeCell ref="C14:C15"/>
    <mergeCell ref="D14:D15"/>
    <mergeCell ref="E14:E15"/>
    <mergeCell ref="F14:F15"/>
    <mergeCell ref="M30:M33"/>
    <mergeCell ref="N30:N33"/>
    <mergeCell ref="G40:G41"/>
    <mergeCell ref="F40:F41"/>
    <mergeCell ref="E40:E41"/>
    <mergeCell ref="D40:D41"/>
    <mergeCell ref="A30:A33"/>
    <mergeCell ref="B30:B33"/>
    <mergeCell ref="C30:C33"/>
    <mergeCell ref="U40:U41"/>
    <mergeCell ref="O40:O41"/>
    <mergeCell ref="N40:N41"/>
    <mergeCell ref="M40:M41"/>
    <mergeCell ref="L40:L41"/>
    <mergeCell ref="K40:K41"/>
    <mergeCell ref="J40:J41"/>
    <mergeCell ref="I40:I41"/>
    <mergeCell ref="H40:H41"/>
    <mergeCell ref="T31:T32"/>
    <mergeCell ref="S31:S32"/>
    <mergeCell ref="R31:R32"/>
    <mergeCell ref="Q31:Q32"/>
    <mergeCell ref="P31:P32"/>
    <mergeCell ref="P40:P41"/>
    <mergeCell ref="Q40:Q41"/>
    <mergeCell ref="R40:R41"/>
    <mergeCell ref="S40:S41"/>
    <mergeCell ref="T40:T41"/>
    <mergeCell ref="B90:B91"/>
    <mergeCell ref="C90:C91"/>
    <mergeCell ref="D90:D91"/>
    <mergeCell ref="E90:E91"/>
    <mergeCell ref="A97:U97"/>
    <mergeCell ref="F90:F91"/>
    <mergeCell ref="O54:O55"/>
    <mergeCell ref="U31:U32"/>
    <mergeCell ref="O30:O33"/>
    <mergeCell ref="D37:D39"/>
    <mergeCell ref="E37:E39"/>
    <mergeCell ref="F37:F39"/>
    <mergeCell ref="G37:G39"/>
    <mergeCell ref="J54:J55"/>
    <mergeCell ref="K54:K55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L100:L101"/>
    <mergeCell ref="C100:C101"/>
    <mergeCell ref="E100:E101"/>
    <mergeCell ref="F100:F101"/>
    <mergeCell ref="G100:G101"/>
    <mergeCell ref="H100:H101"/>
    <mergeCell ref="I100:I101"/>
    <mergeCell ref="J100:J101"/>
    <mergeCell ref="N51:N52"/>
    <mergeCell ref="D86:D87"/>
    <mergeCell ref="E86:E87"/>
    <mergeCell ref="F86:F87"/>
    <mergeCell ref="G86:G87"/>
    <mergeCell ref="H86:H87"/>
    <mergeCell ref="H84:H85"/>
    <mergeCell ref="I84:I85"/>
    <mergeCell ref="D100:D101"/>
    <mergeCell ref="C54:C55"/>
    <mergeCell ref="D54:D55"/>
    <mergeCell ref="E54:E55"/>
    <mergeCell ref="F54:F55"/>
    <mergeCell ref="G54:G55"/>
    <mergeCell ref="H54:H55"/>
    <mergeCell ref="I54:I55"/>
    <mergeCell ref="A131:U131"/>
    <mergeCell ref="A118:U118"/>
    <mergeCell ref="C84:C85"/>
    <mergeCell ref="B84:B85"/>
    <mergeCell ref="D84:D85"/>
    <mergeCell ref="A84:A85"/>
    <mergeCell ref="J84:J85"/>
    <mergeCell ref="E84:E85"/>
    <mergeCell ref="G84:G85"/>
    <mergeCell ref="K84:K85"/>
    <mergeCell ref="P126:U130"/>
    <mergeCell ref="A125:U125"/>
    <mergeCell ref="M86:M87"/>
    <mergeCell ref="N86:N87"/>
    <mergeCell ref="O86:O87"/>
    <mergeCell ref="A86:A87"/>
    <mergeCell ref="A100:A101"/>
    <mergeCell ref="B100:B101"/>
    <mergeCell ref="B86:B87"/>
    <mergeCell ref="M100:M101"/>
    <mergeCell ref="N100:N101"/>
    <mergeCell ref="O100:O101"/>
    <mergeCell ref="O84:O85"/>
    <mergeCell ref="K100:K101"/>
    <mergeCell ref="V59:V60"/>
    <mergeCell ref="A57:A58"/>
    <mergeCell ref="I57:I58"/>
    <mergeCell ref="J57:J58"/>
    <mergeCell ref="K57:K58"/>
    <mergeCell ref="L57:L58"/>
    <mergeCell ref="M57:M58"/>
    <mergeCell ref="N57:N58"/>
    <mergeCell ref="O57:O58"/>
    <mergeCell ref="G57:G58"/>
    <mergeCell ref="F57:F58"/>
    <mergeCell ref="C57:C58"/>
    <mergeCell ref="H57:H58"/>
    <mergeCell ref="B4:B6"/>
    <mergeCell ref="C10:C11"/>
    <mergeCell ref="D4:E5"/>
    <mergeCell ref="F4:O4"/>
    <mergeCell ref="F51:F52"/>
    <mergeCell ref="T4:T6"/>
    <mergeCell ref="H5:I5"/>
    <mergeCell ref="J5:K5"/>
    <mergeCell ref="M10:M11"/>
    <mergeCell ref="B37:B39"/>
    <mergeCell ref="C37:C39"/>
    <mergeCell ref="H37:H39"/>
    <mergeCell ref="I37:I39"/>
    <mergeCell ref="J37:J39"/>
    <mergeCell ref="K37:K39"/>
    <mergeCell ref="D10:D11"/>
    <mergeCell ref="O48:O49"/>
    <mergeCell ref="L37:L39"/>
    <mergeCell ref="M37:M39"/>
    <mergeCell ref="N37:N39"/>
    <mergeCell ref="O37:O39"/>
    <mergeCell ref="F48:F49"/>
    <mergeCell ref="C48:C49"/>
    <mergeCell ref="B51:B52"/>
    <mergeCell ref="B10:B11"/>
    <mergeCell ref="A37:A39"/>
    <mergeCell ref="G90:G91"/>
    <mergeCell ref="H90:H91"/>
    <mergeCell ref="K86:K87"/>
    <mergeCell ref="L86:L87"/>
    <mergeCell ref="I90:I91"/>
    <mergeCell ref="B48:B49"/>
    <mergeCell ref="F84:F85"/>
    <mergeCell ref="A82:U82"/>
    <mergeCell ref="E57:E58"/>
    <mergeCell ref="L90:L91"/>
    <mergeCell ref="M90:M91"/>
    <mergeCell ref="N90:N91"/>
    <mergeCell ref="O90:O91"/>
    <mergeCell ref="A90:A91"/>
    <mergeCell ref="D57:D58"/>
    <mergeCell ref="O51:O52"/>
    <mergeCell ref="I48:I49"/>
    <mergeCell ref="D51:D52"/>
    <mergeCell ref="E48:E49"/>
    <mergeCell ref="C51:C52"/>
    <mergeCell ref="M51:M52"/>
    <mergeCell ref="C86:C87"/>
    <mergeCell ref="A7:U7"/>
    <mergeCell ref="U4:U6"/>
    <mergeCell ref="F5:G5"/>
    <mergeCell ref="F10:F11"/>
    <mergeCell ref="L10:L11"/>
    <mergeCell ref="Q4:Q6"/>
    <mergeCell ref="R4:R6"/>
    <mergeCell ref="A48:A49"/>
    <mergeCell ref="A51:A52"/>
    <mergeCell ref="D48:D49"/>
    <mergeCell ref="L48:L49"/>
    <mergeCell ref="K51:K52"/>
    <mergeCell ref="L51:L52"/>
    <mergeCell ref="G51:G52"/>
    <mergeCell ref="G48:G49"/>
    <mergeCell ref="A18:U18"/>
    <mergeCell ref="A4:A6"/>
    <mergeCell ref="P4:P6"/>
    <mergeCell ref="A10:A11"/>
    <mergeCell ref="C4:C6"/>
    <mergeCell ref="G10:G11"/>
    <mergeCell ref="H10:H11"/>
    <mergeCell ref="I10:I11"/>
    <mergeCell ref="L5:M5"/>
    <mergeCell ref="A65:U65"/>
    <mergeCell ref="B57:B58"/>
    <mergeCell ref="K48:K49"/>
    <mergeCell ref="H51:H52"/>
    <mergeCell ref="I51:I52"/>
    <mergeCell ref="J51:J52"/>
    <mergeCell ref="J48:J49"/>
    <mergeCell ref="E51:E52"/>
    <mergeCell ref="M48:M49"/>
    <mergeCell ref="L54:L55"/>
    <mergeCell ref="M54:M55"/>
    <mergeCell ref="N54:N55"/>
    <mergeCell ref="A54:A55"/>
    <mergeCell ref="B54:B55"/>
    <mergeCell ref="W1:W5"/>
    <mergeCell ref="X1:X5"/>
    <mergeCell ref="Y1:Y5"/>
    <mergeCell ref="Z2:Z5"/>
    <mergeCell ref="F132:O132"/>
    <mergeCell ref="M84:M85"/>
    <mergeCell ref="N84:N85"/>
    <mergeCell ref="N48:N49"/>
    <mergeCell ref="A2:U2"/>
    <mergeCell ref="A3:U3"/>
    <mergeCell ref="A1:U1"/>
    <mergeCell ref="N10:N11"/>
    <mergeCell ref="J10:J11"/>
    <mergeCell ref="K10:K11"/>
    <mergeCell ref="E10:E11"/>
    <mergeCell ref="N5:O5"/>
    <mergeCell ref="S4:S6"/>
    <mergeCell ref="O10:O11"/>
    <mergeCell ref="L84:L85"/>
    <mergeCell ref="J90:J91"/>
    <mergeCell ref="K90:K91"/>
    <mergeCell ref="I86:I87"/>
    <mergeCell ref="J86:J87"/>
    <mergeCell ref="H48:H49"/>
  </mergeCells>
  <pageMargins left="0.19685039370078741" right="0.19685039370078741" top="0.39370078740157483" bottom="0.19685039370078741" header="0.19685039370078741" footer="0"/>
  <pageSetup paperSize="9" scale="38" firstPageNumber="0" fitToWidth="0" fitToHeight="0" orientation="landscape" r:id="rId1"/>
  <headerFooter alignWithMargins="0">
    <oddHeader>&amp;C&amp;P</oddHeader>
  </headerFooter>
  <rowBreaks count="1" manualBreakCount="1">
    <brk id="1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СВОД 2 приложение </vt:lpstr>
      <vt:lpstr>Отчет за 2021</vt:lpstr>
      <vt:lpstr>'Отчет за 2021'!Excel_BuiltIn_Print_Area</vt:lpstr>
      <vt:lpstr>'Отчет за 2021'!Excel_BuiltIn_Print_Titles</vt:lpstr>
      <vt:lpstr>'СВОД 2 приложение '!Excel_BuiltIn_Print_Titles</vt:lpstr>
      <vt:lpstr>'Отчет за 2021'!Print_Area_0</vt:lpstr>
      <vt:lpstr>'СВОД 2 приложение '!Print_Area_0</vt:lpstr>
      <vt:lpstr>'Отчет за 2021'!Print_Area_0_0</vt:lpstr>
      <vt:lpstr>'СВОД 2 приложение '!Print_Area_0_0</vt:lpstr>
      <vt:lpstr>'Отчет за 2021'!Print_Area_0_0_0</vt:lpstr>
      <vt:lpstr>'СВОД 2 приложение '!Print_Area_0_0_0</vt:lpstr>
      <vt:lpstr>'Отчет за 2021'!Print_Titles_0</vt:lpstr>
      <vt:lpstr>'СВОД 2 приложение '!Print_Titles_0</vt:lpstr>
      <vt:lpstr>'Отчет за 2021'!Print_Titles_0_0</vt:lpstr>
      <vt:lpstr>'СВОД 2 приложение '!Print_Titles_0_0</vt:lpstr>
      <vt:lpstr>'Отчет за 2021'!Print_Titles_0_0_0</vt:lpstr>
      <vt:lpstr>'СВОД 2 приложение '!Print_Titles_0_0_0</vt:lpstr>
      <vt:lpstr>'Отчет за 2021'!Заголовки_для_печати</vt:lpstr>
      <vt:lpstr>'СВОД 2 приложение '!Заголовки_для_печати</vt:lpstr>
      <vt:lpstr>'Отчет за 2021'!Область_печати</vt:lpstr>
      <vt:lpstr>'СВОД 2 приложение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IMarkova</dc:creator>
  <cp:lastModifiedBy>Сизова Елена Юрьевна</cp:lastModifiedBy>
  <cp:revision>127</cp:revision>
  <cp:lastPrinted>2022-03-25T09:44:59Z</cp:lastPrinted>
  <dcterms:created xsi:type="dcterms:W3CDTF">2014-05-20T15:51:30Z</dcterms:created>
  <dcterms:modified xsi:type="dcterms:W3CDTF">2022-05-23T12:25:57Z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