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6qpjERgprcn12kzoddmZxRWPFxTkfxUwbIGdG1afn9to+MtE+5EwzGEuvSnmDHHSwUeJ+yL60HpVxEhj4skfyw==" workbookSaltValue="2sYskrQjEw8XgbZfVbJJKA==" workbookSpinCount="100000" lockStructure="1"/>
  <bookViews>
    <workbookView xWindow="30" yWindow="630" windowWidth="19440" windowHeight="13740" tabRatio="753" activeTab="1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4" state="veryHidden" r:id="rId4"/>
    <sheet name="4.Комментарий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4" l="1"/>
  <c r="B3" i="14" s="1"/>
  <c r="F30" i="13"/>
  <c r="E30" i="13"/>
  <c r="D30" i="13"/>
  <c r="C30" i="13"/>
  <c r="P26" i="13"/>
  <c r="O26" i="13"/>
  <c r="N26" i="13"/>
  <c r="M26" i="13"/>
  <c r="Q26" i="13" s="1"/>
  <c r="K26" i="13"/>
  <c r="J26" i="13"/>
  <c r="I26" i="13"/>
  <c r="H26" i="13"/>
  <c r="L26" i="13" s="1"/>
  <c r="F26" i="13"/>
  <c r="E26" i="13"/>
  <c r="D26" i="13"/>
  <c r="C26" i="13"/>
  <c r="G26" i="13" s="1"/>
  <c r="P25" i="13"/>
  <c r="O25" i="13"/>
  <c r="N25" i="13"/>
  <c r="M25" i="13"/>
  <c r="Q25" i="13" s="1"/>
  <c r="K25" i="13"/>
  <c r="J25" i="13"/>
  <c r="I25" i="13"/>
  <c r="H25" i="13"/>
  <c r="L25" i="13" s="1"/>
  <c r="F25" i="13"/>
  <c r="E25" i="13"/>
  <c r="D25" i="13"/>
  <c r="C25" i="13"/>
  <c r="G25" i="13" s="1"/>
  <c r="P24" i="13"/>
  <c r="O24" i="13"/>
  <c r="N24" i="13"/>
  <c r="M24" i="13"/>
  <c r="Q24" i="13" s="1"/>
  <c r="K24" i="13"/>
  <c r="J24" i="13"/>
  <c r="I24" i="13"/>
  <c r="H24" i="13"/>
  <c r="L24" i="13" s="1"/>
  <c r="F24" i="13"/>
  <c r="E24" i="13"/>
  <c r="D24" i="13"/>
  <c r="C24" i="13"/>
  <c r="G24" i="13" s="1"/>
  <c r="F23" i="13"/>
  <c r="F22" i="13" s="1"/>
  <c r="K23" i="13" s="1"/>
  <c r="K22" i="13" s="1"/>
  <c r="P23" i="13" s="1"/>
  <c r="P22" i="13" s="1"/>
  <c r="E23" i="13"/>
  <c r="D23" i="13"/>
  <c r="D22" i="13" s="1"/>
  <c r="I23" i="13" s="1"/>
  <c r="I22" i="13" s="1"/>
  <c r="N23" i="13" s="1"/>
  <c r="N22" i="13" s="1"/>
  <c r="C23" i="13"/>
  <c r="G23" i="13" s="1"/>
  <c r="E22" i="13"/>
  <c r="J23" i="13" s="1"/>
  <c r="J22" i="13" s="1"/>
  <c r="O23" i="13" s="1"/>
  <c r="O22" i="13" s="1"/>
  <c r="C22" i="13"/>
  <c r="H23" i="13" s="1"/>
  <c r="P21" i="13"/>
  <c r="O21" i="13"/>
  <c r="N21" i="13"/>
  <c r="M21" i="13"/>
  <c r="Q21" i="13" s="1"/>
  <c r="K21" i="13"/>
  <c r="J21" i="13"/>
  <c r="I21" i="13"/>
  <c r="H21" i="13"/>
  <c r="L21" i="13" s="1"/>
  <c r="F21" i="13"/>
  <c r="E21" i="13"/>
  <c r="D21" i="13"/>
  <c r="C21" i="13"/>
  <c r="G21" i="13" s="1"/>
  <c r="F20" i="13"/>
  <c r="E20" i="13"/>
  <c r="E19" i="13" s="1"/>
  <c r="D20" i="13"/>
  <c r="C20" i="13"/>
  <c r="C19" i="13" s="1"/>
  <c r="F19" i="13"/>
  <c r="D19" i="13"/>
  <c r="F16" i="13"/>
  <c r="E16" i="13"/>
  <c r="D16" i="13"/>
  <c r="C16" i="13"/>
  <c r="P14" i="13"/>
  <c r="O14" i="13"/>
  <c r="N14" i="13"/>
  <c r="M14" i="13"/>
  <c r="Q14" i="13" s="1"/>
  <c r="K14" i="13"/>
  <c r="J14" i="13"/>
  <c r="I14" i="13"/>
  <c r="H14" i="13"/>
  <c r="F14" i="13"/>
  <c r="E14" i="13"/>
  <c r="D14" i="13"/>
  <c r="C14" i="13"/>
  <c r="G14" i="13" s="1"/>
  <c r="P13" i="13"/>
  <c r="O13" i="13"/>
  <c r="N13" i="13"/>
  <c r="M13" i="13"/>
  <c r="Q13" i="13" s="1"/>
  <c r="K13" i="13"/>
  <c r="J13" i="13"/>
  <c r="I13" i="13"/>
  <c r="H13" i="13"/>
  <c r="L13" i="13" s="1"/>
  <c r="F13" i="13"/>
  <c r="E13" i="13"/>
  <c r="D13" i="13"/>
  <c r="C13" i="13"/>
  <c r="P12" i="13"/>
  <c r="O12" i="13"/>
  <c r="N12" i="13"/>
  <c r="M12" i="13"/>
  <c r="Q12" i="13" s="1"/>
  <c r="K12" i="13"/>
  <c r="J12" i="13"/>
  <c r="I12" i="13"/>
  <c r="H12" i="13"/>
  <c r="L12" i="13" s="1"/>
  <c r="F12" i="13"/>
  <c r="E12" i="13"/>
  <c r="D12" i="13"/>
  <c r="C12" i="13"/>
  <c r="G12" i="13" s="1"/>
  <c r="F11" i="13"/>
  <c r="F10" i="13" s="1"/>
  <c r="K11" i="13" s="1"/>
  <c r="K10" i="13" s="1"/>
  <c r="P11" i="13" s="1"/>
  <c r="P10" i="13" s="1"/>
  <c r="E11" i="13"/>
  <c r="D11" i="13"/>
  <c r="D10" i="13" s="1"/>
  <c r="I11" i="13" s="1"/>
  <c r="C11" i="13"/>
  <c r="I10" i="13"/>
  <c r="N11" i="13" s="1"/>
  <c r="N10" i="13" s="1"/>
  <c r="E10" i="13"/>
  <c r="J11" i="13" s="1"/>
  <c r="J10" i="13" s="1"/>
  <c r="O11" i="13" s="1"/>
  <c r="O10" i="13" s="1"/>
  <c r="C10" i="13"/>
  <c r="H11" i="13" s="1"/>
  <c r="G7" i="13"/>
  <c r="C7" i="13"/>
  <c r="H7" i="13" s="1"/>
  <c r="M7" i="13" s="1"/>
  <c r="Q7" i="13" s="1"/>
  <c r="Q31" i="7"/>
  <c r="L31" i="7"/>
  <c r="G31" i="7"/>
  <c r="F30" i="7"/>
  <c r="F29" i="7" s="1"/>
  <c r="K30" i="7" s="1"/>
  <c r="K29" i="7" s="1"/>
  <c r="P30" i="7" s="1"/>
  <c r="P29" i="7" s="1"/>
  <c r="E30" i="7"/>
  <c r="D30" i="7"/>
  <c r="D29" i="7" s="1"/>
  <c r="I30" i="7" s="1"/>
  <c r="I29" i="7" s="1"/>
  <c r="N30" i="7" s="1"/>
  <c r="N29" i="7" s="1"/>
  <c r="C30" i="7"/>
  <c r="G30" i="7" s="1"/>
  <c r="G29" i="7" s="1"/>
  <c r="E29" i="7"/>
  <c r="J30" i="7" s="1"/>
  <c r="J29" i="7" s="1"/>
  <c r="O30" i="7" s="1"/>
  <c r="O29" i="7" s="1"/>
  <c r="C29" i="7"/>
  <c r="H30" i="7" s="1"/>
  <c r="Q26" i="7"/>
  <c r="L26" i="7"/>
  <c r="G26" i="7"/>
  <c r="Q25" i="7"/>
  <c r="L25" i="7"/>
  <c r="G25" i="7"/>
  <c r="P24" i="7"/>
  <c r="O24" i="7"/>
  <c r="N24" i="7"/>
  <c r="M24" i="7"/>
  <c r="Q24" i="7" s="1"/>
  <c r="K24" i="7"/>
  <c r="J24" i="7"/>
  <c r="I24" i="7"/>
  <c r="H24" i="7"/>
  <c r="L24" i="7" s="1"/>
  <c r="F24" i="7"/>
  <c r="E24" i="7"/>
  <c r="D24" i="7"/>
  <c r="C24" i="7"/>
  <c r="G24" i="7" s="1"/>
  <c r="F23" i="7"/>
  <c r="E23" i="7"/>
  <c r="E22" i="7" s="1"/>
  <c r="J23" i="7" s="1"/>
  <c r="J22" i="7" s="1"/>
  <c r="O23" i="7" s="1"/>
  <c r="O22" i="7" s="1"/>
  <c r="D23" i="7"/>
  <c r="C23" i="7"/>
  <c r="C22" i="7" s="1"/>
  <c r="F22" i="7"/>
  <c r="K23" i="7" s="1"/>
  <c r="K22" i="7" s="1"/>
  <c r="P23" i="7" s="1"/>
  <c r="P22" i="7" s="1"/>
  <c r="D22" i="7"/>
  <c r="I23" i="7" s="1"/>
  <c r="I22" i="7" s="1"/>
  <c r="N23" i="7" s="1"/>
  <c r="N22" i="7" s="1"/>
  <c r="Q21" i="7"/>
  <c r="L21" i="7"/>
  <c r="G21" i="7"/>
  <c r="F20" i="7"/>
  <c r="F19" i="7" s="1"/>
  <c r="E20" i="7"/>
  <c r="D20" i="7"/>
  <c r="D19" i="7" s="1"/>
  <c r="C20" i="7"/>
  <c r="G20" i="7" s="1"/>
  <c r="E19" i="7"/>
  <c r="C19" i="7"/>
  <c r="Q17" i="7"/>
  <c r="L17" i="7"/>
  <c r="G17" i="7"/>
  <c r="G15" i="7" s="1"/>
  <c r="F16" i="7"/>
  <c r="F15" i="7" s="1"/>
  <c r="K16" i="7" s="1"/>
  <c r="E16" i="7"/>
  <c r="D16" i="7"/>
  <c r="D15" i="7" s="1"/>
  <c r="I16" i="7" s="1"/>
  <c r="I15" i="7" s="1"/>
  <c r="C16" i="7"/>
  <c r="G16" i="7" s="1"/>
  <c r="K15" i="7"/>
  <c r="P16" i="7" s="1"/>
  <c r="P15" i="7" s="1"/>
  <c r="N69" i="6" s="1"/>
  <c r="E15" i="7"/>
  <c r="J16" i="7" s="1"/>
  <c r="J15" i="7" s="1"/>
  <c r="C15" i="7"/>
  <c r="H16" i="7" s="1"/>
  <c r="Q14" i="7"/>
  <c r="L14" i="7"/>
  <c r="G14" i="7"/>
  <c r="Q13" i="7"/>
  <c r="L13" i="7"/>
  <c r="G13" i="7"/>
  <c r="P12" i="7"/>
  <c r="O12" i="7"/>
  <c r="N12" i="7"/>
  <c r="M12" i="7"/>
  <c r="Q12" i="7" s="1"/>
  <c r="K12" i="7"/>
  <c r="J12" i="7"/>
  <c r="I12" i="7"/>
  <c r="H12" i="7"/>
  <c r="L12" i="7" s="1"/>
  <c r="F12" i="7"/>
  <c r="F10" i="7" s="1"/>
  <c r="K11" i="7" s="1"/>
  <c r="K10" i="7" s="1"/>
  <c r="P11" i="7" s="1"/>
  <c r="P10" i="7" s="1"/>
  <c r="E12" i="7"/>
  <c r="D12" i="7"/>
  <c r="C12" i="7"/>
  <c r="F11" i="7"/>
  <c r="E11" i="7"/>
  <c r="E10" i="7" s="1"/>
  <c r="J11" i="7" s="1"/>
  <c r="D11" i="7"/>
  <c r="C11" i="7"/>
  <c r="C10" i="7" s="1"/>
  <c r="J10" i="7"/>
  <c r="O11" i="7" s="1"/>
  <c r="O10" i="7" s="1"/>
  <c r="D10" i="7"/>
  <c r="I11" i="7" s="1"/>
  <c r="I10" i="7" s="1"/>
  <c r="N11" i="7" s="1"/>
  <c r="N10" i="7" s="1"/>
  <c r="H7" i="7"/>
  <c r="L7" i="7" s="1"/>
  <c r="C7" i="7"/>
  <c r="G7" i="7" s="1"/>
  <c r="N70" i="6"/>
  <c r="M70" i="6"/>
  <c r="L70" i="6"/>
  <c r="J70" i="6"/>
  <c r="I70" i="6"/>
  <c r="H70" i="6"/>
  <c r="F70" i="6"/>
  <c r="E70" i="6"/>
  <c r="D70" i="6"/>
  <c r="C70" i="6"/>
  <c r="F69" i="6"/>
  <c r="C69" i="6"/>
  <c r="G66" i="6"/>
  <c r="K66" i="6" s="1"/>
  <c r="C66" i="6"/>
  <c r="D60" i="6"/>
  <c r="E60" i="6" s="1"/>
  <c r="C60" i="6"/>
  <c r="G34" i="7"/>
  <c r="G34" i="13" s="1"/>
  <c r="C55" i="6"/>
  <c r="D55" i="6" s="1"/>
  <c r="E55" i="6" s="1"/>
  <c r="F55" i="6" s="1"/>
  <c r="G55" i="6" s="1"/>
  <c r="H55" i="6" s="1"/>
  <c r="C49" i="6"/>
  <c r="H49" i="6" s="1"/>
  <c r="D46" i="6"/>
  <c r="C46" i="6"/>
  <c r="V42" i="6"/>
  <c r="U42" i="6"/>
  <c r="T42" i="6"/>
  <c r="S42" i="6"/>
  <c r="R42" i="6"/>
  <c r="Q42" i="6"/>
  <c r="P42" i="6"/>
  <c r="O42" i="6"/>
  <c r="N42" i="6"/>
  <c r="L42" i="6"/>
  <c r="K42" i="6"/>
  <c r="J42" i="6"/>
  <c r="I42" i="6"/>
  <c r="H42" i="6"/>
  <c r="G42" i="6"/>
  <c r="F42" i="6"/>
  <c r="E42" i="6"/>
  <c r="D42" i="6"/>
  <c r="AK40" i="6"/>
  <c r="G9" i="13" s="1"/>
  <c r="AJ40" i="6"/>
  <c r="AI40" i="6"/>
  <c r="AH40" i="6"/>
  <c r="AG40" i="6"/>
  <c r="AF40" i="6"/>
  <c r="AE40" i="6"/>
  <c r="M72" i="6" s="1"/>
  <c r="AD40" i="6"/>
  <c r="AC40" i="6"/>
  <c r="K72" i="6" s="1"/>
  <c r="AB40" i="6"/>
  <c r="AA40" i="6"/>
  <c r="N72" i="6" s="1"/>
  <c r="Z40" i="6"/>
  <c r="Y40" i="6"/>
  <c r="L72" i="6" s="1"/>
  <c r="X40" i="6"/>
  <c r="W40" i="6"/>
  <c r="R40" i="6"/>
  <c r="M40" i="6"/>
  <c r="M42" i="6" s="1"/>
  <c r="H40" i="6"/>
  <c r="C40" i="6"/>
  <c r="C42" i="6" s="1"/>
  <c r="C38" i="6"/>
  <c r="H38" i="6" s="1"/>
  <c r="Q32" i="6"/>
  <c r="P32" i="6"/>
  <c r="O32" i="6"/>
  <c r="N32" i="6"/>
  <c r="L32" i="6"/>
  <c r="K32" i="6"/>
  <c r="J32" i="6"/>
  <c r="I32" i="6"/>
  <c r="G32" i="6"/>
  <c r="F32" i="6"/>
  <c r="E32" i="6"/>
  <c r="D32" i="6"/>
  <c r="M28" i="6"/>
  <c r="B14" i="15" s="1"/>
  <c r="H28" i="6"/>
  <c r="C28" i="6"/>
  <c r="M27" i="6"/>
  <c r="B13" i="15" s="1"/>
  <c r="H27" i="6"/>
  <c r="C27" i="6"/>
  <c r="C61" i="6" s="1"/>
  <c r="M26" i="6"/>
  <c r="B12" i="15" s="1"/>
  <c r="H26" i="6"/>
  <c r="C26" i="6"/>
  <c r="M25" i="6"/>
  <c r="H25" i="6"/>
  <c r="C25" i="6"/>
  <c r="F48" i="6" s="1"/>
  <c r="M24" i="6"/>
  <c r="B11" i="15" s="1"/>
  <c r="H24" i="6"/>
  <c r="C24" i="6"/>
  <c r="M23" i="6"/>
  <c r="B10" i="15" s="1"/>
  <c r="B9" i="15" s="1"/>
  <c r="H23" i="6"/>
  <c r="C23" i="6"/>
  <c r="P22" i="6"/>
  <c r="P30" i="6" s="1"/>
  <c r="N22" i="6"/>
  <c r="N30" i="6" s="1"/>
  <c r="L22" i="6"/>
  <c r="L30" i="6" s="1"/>
  <c r="J22" i="6"/>
  <c r="J30" i="6" s="1"/>
  <c r="F22" i="6"/>
  <c r="F30" i="6" s="1"/>
  <c r="D22" i="6"/>
  <c r="D30" i="6" s="1"/>
  <c r="M21" i="6"/>
  <c r="B8" i="15" s="1"/>
  <c r="H21" i="6"/>
  <c r="C21" i="6"/>
  <c r="M20" i="6"/>
  <c r="B7" i="15" s="1"/>
  <c r="H20" i="6"/>
  <c r="H32" i="6" s="1"/>
  <c r="C20" i="6"/>
  <c r="C32" i="6" s="1"/>
  <c r="Q19" i="6"/>
  <c r="Q22" i="6" s="1"/>
  <c r="Q30" i="6" s="1"/>
  <c r="P19" i="6"/>
  <c r="O19" i="6"/>
  <c r="O22" i="6" s="1"/>
  <c r="O30" i="6" s="1"/>
  <c r="N19" i="6"/>
  <c r="M19" i="6"/>
  <c r="B6" i="15" s="1"/>
  <c r="B5" i="15" s="1"/>
  <c r="L19" i="6"/>
  <c r="K19" i="6"/>
  <c r="K22" i="6" s="1"/>
  <c r="K30" i="6" s="1"/>
  <c r="J19" i="6"/>
  <c r="I19" i="6"/>
  <c r="I22" i="6" s="1"/>
  <c r="I30" i="6" s="1"/>
  <c r="G19" i="6"/>
  <c r="G22" i="6" s="1"/>
  <c r="G30" i="6" s="1"/>
  <c r="F19" i="6"/>
  <c r="E19" i="6"/>
  <c r="E22" i="6" s="1"/>
  <c r="E30" i="6" s="1"/>
  <c r="C19" i="6"/>
  <c r="C22" i="6" s="1"/>
  <c r="C30" i="6" s="1"/>
  <c r="D17" i="6"/>
  <c r="C17" i="6"/>
  <c r="H17" i="6" s="1"/>
  <c r="M13" i="6"/>
  <c r="H13" i="6"/>
  <c r="C13" i="6"/>
  <c r="M11" i="6"/>
  <c r="H11" i="6"/>
  <c r="C11" i="6"/>
  <c r="C9" i="6"/>
  <c r="H9" i="6" s="1"/>
  <c r="M9" i="6" s="1"/>
  <c r="J10" i="14"/>
  <c r="J6" i="14"/>
  <c r="D9" i="14"/>
  <c r="H10" i="14"/>
  <c r="H6" i="14"/>
  <c r="B9" i="14"/>
  <c r="E9" i="14"/>
  <c r="I10" i="14"/>
  <c r="E10" i="14"/>
  <c r="E6" i="14"/>
  <c r="N6" i="14"/>
  <c r="C10" i="14"/>
  <c r="C6" i="14"/>
  <c r="I6" i="14"/>
  <c r="N10" i="14"/>
  <c r="B6" i="14"/>
  <c r="C9" i="14"/>
  <c r="O10" i="14"/>
  <c r="O6" i="14"/>
  <c r="D10" i="14"/>
  <c r="M10" i="14"/>
  <c r="M6" i="14"/>
  <c r="B10" i="14"/>
  <c r="D6" i="14"/>
  <c r="E69" i="6" l="1"/>
  <c r="N16" i="7"/>
  <c r="N15" i="7" s="1"/>
  <c r="L69" i="6" s="1"/>
  <c r="H69" i="6"/>
  <c r="D69" i="6"/>
  <c r="G33" i="7"/>
  <c r="D61" i="6"/>
  <c r="M38" i="6"/>
  <c r="I38" i="6"/>
  <c r="H15" i="7"/>
  <c r="L16" i="7"/>
  <c r="L15" i="7" s="1"/>
  <c r="I17" i="6"/>
  <c r="M17" i="6"/>
  <c r="N17" i="6" s="1"/>
  <c r="O16" i="7"/>
  <c r="O15" i="7" s="1"/>
  <c r="M69" i="6" s="1"/>
  <c r="I69" i="6"/>
  <c r="H19" i="6"/>
  <c r="H22" i="6" s="1"/>
  <c r="H30" i="6" s="1"/>
  <c r="M22" i="6"/>
  <c r="M30" i="6" s="1"/>
  <c r="M32" i="6"/>
  <c r="D38" i="6"/>
  <c r="J69" i="6"/>
  <c r="D72" i="6"/>
  <c r="F72" i="6"/>
  <c r="H72" i="6"/>
  <c r="J72" i="6"/>
  <c r="M7" i="7"/>
  <c r="Q7" i="7" s="1"/>
  <c r="H11" i="7"/>
  <c r="G10" i="7"/>
  <c r="G11" i="7"/>
  <c r="G12" i="7"/>
  <c r="H10" i="13"/>
  <c r="L11" i="13"/>
  <c r="C6" i="15"/>
  <c r="C9" i="13"/>
  <c r="D48" i="6"/>
  <c r="G48" i="6"/>
  <c r="C72" i="6"/>
  <c r="E72" i="6"/>
  <c r="G72" i="6"/>
  <c r="I72" i="6"/>
  <c r="G9" i="7"/>
  <c r="I20" i="7"/>
  <c r="I19" i="7" s="1"/>
  <c r="K20" i="7"/>
  <c r="K19" i="7" s="1"/>
  <c r="H23" i="7"/>
  <c r="G22" i="7"/>
  <c r="H29" i="7"/>
  <c r="L30" i="7"/>
  <c r="L29" i="7" s="1"/>
  <c r="G19" i="7"/>
  <c r="H20" i="7"/>
  <c r="J20" i="7"/>
  <c r="J19" i="7" s="1"/>
  <c r="G23" i="7"/>
  <c r="L7" i="13"/>
  <c r="G13" i="13"/>
  <c r="L14" i="13"/>
  <c r="G16" i="13"/>
  <c r="K20" i="13"/>
  <c r="K19" i="13" s="1"/>
  <c r="G10" i="13"/>
  <c r="C7" i="15" s="1"/>
  <c r="D7" i="15" s="1"/>
  <c r="F7" i="15" s="1"/>
  <c r="G11" i="13"/>
  <c r="I20" i="13"/>
  <c r="I19" i="13" s="1"/>
  <c r="H20" i="13"/>
  <c r="J20" i="13"/>
  <c r="J19" i="13" s="1"/>
  <c r="H22" i="13"/>
  <c r="L23" i="13"/>
  <c r="G20" i="13"/>
  <c r="G19" i="13" s="1"/>
  <c r="G22" i="13"/>
  <c r="C11" i="15" s="1"/>
  <c r="D11" i="15" s="1"/>
  <c r="F11" i="15" s="1"/>
  <c r="G30" i="13"/>
  <c r="G3" i="14"/>
  <c r="F3" i="14"/>
  <c r="B4" i="15"/>
  <c r="C4" i="15" s="1"/>
  <c r="J9" i="14"/>
  <c r="H9" i="14"/>
  <c r="G6" i="14"/>
  <c r="I9" i="14"/>
  <c r="B5" i="14"/>
  <c r="G10" i="14"/>
  <c r="L3" i="14" l="1"/>
  <c r="P3" i="14" s="1"/>
  <c r="K3" i="14"/>
  <c r="O20" i="13"/>
  <c r="O19" i="13" s="1"/>
  <c r="L20" i="13"/>
  <c r="L19" i="13" s="1"/>
  <c r="H19" i="13"/>
  <c r="N20" i="13"/>
  <c r="N19" i="13" s="1"/>
  <c r="P20" i="13"/>
  <c r="P19" i="13" s="1"/>
  <c r="H19" i="7"/>
  <c r="L20" i="7"/>
  <c r="P20" i="7"/>
  <c r="P19" i="7" s="1"/>
  <c r="N20" i="7"/>
  <c r="N19" i="7" s="1"/>
  <c r="G28" i="7"/>
  <c r="M11" i="13"/>
  <c r="L10" i="13"/>
  <c r="R38" i="6"/>
  <c r="N38" i="6"/>
  <c r="G33" i="13"/>
  <c r="G32" i="7"/>
  <c r="C10" i="15"/>
  <c r="M23" i="13"/>
  <c r="L22" i="13"/>
  <c r="O20" i="7"/>
  <c r="O19" i="7" s="1"/>
  <c r="M30" i="7"/>
  <c r="G70" i="6"/>
  <c r="L23" i="7"/>
  <c r="H22" i="7"/>
  <c r="G18" i="7"/>
  <c r="C9" i="7"/>
  <c r="C48" i="6"/>
  <c r="H48" i="6" s="1"/>
  <c r="D6" i="15"/>
  <c r="F6" i="15" s="1"/>
  <c r="L11" i="7"/>
  <c r="H10" i="7"/>
  <c r="L34" i="7"/>
  <c r="L34" i="13" s="1"/>
  <c r="Q34" i="7"/>
  <c r="Q34" i="13" s="1"/>
  <c r="M16" i="7"/>
  <c r="G69" i="6"/>
  <c r="L33" i="7"/>
  <c r="E61" i="6"/>
  <c r="Q33" i="7" s="1"/>
  <c r="N9" i="14"/>
  <c r="G9" i="14"/>
  <c r="M9" i="14"/>
  <c r="O9" i="14"/>
  <c r="Q33" i="13" l="1"/>
  <c r="Q32" i="7"/>
  <c r="M11" i="7"/>
  <c r="L10" i="7"/>
  <c r="Q30" i="7"/>
  <c r="Q29" i="7" s="1"/>
  <c r="M29" i="7"/>
  <c r="K70" i="6" s="1"/>
  <c r="L33" i="13"/>
  <c r="L32" i="7"/>
  <c r="Q16" i="7"/>
  <c r="Q15" i="7" s="1"/>
  <c r="M15" i="7"/>
  <c r="K69" i="6" s="1"/>
  <c r="M23" i="7"/>
  <c r="L22" i="7"/>
  <c r="Q23" i="13"/>
  <c r="M22" i="13"/>
  <c r="D10" i="15"/>
  <c r="F10" i="15" s="1"/>
  <c r="G32" i="13"/>
  <c r="C13" i="15" s="1"/>
  <c r="D13" i="15" s="1"/>
  <c r="F13" i="15" s="1"/>
  <c r="E32" i="7"/>
  <c r="C32" i="7"/>
  <c r="F32" i="7"/>
  <c r="G28" i="13"/>
  <c r="Q28" i="7"/>
  <c r="L28" i="7"/>
  <c r="G27" i="7"/>
  <c r="C18" i="7"/>
  <c r="W38" i="6"/>
  <c r="S38" i="6"/>
  <c r="Q11" i="13"/>
  <c r="M10" i="13"/>
  <c r="M20" i="7"/>
  <c r="L19" i="7"/>
  <c r="M20" i="13"/>
  <c r="L6" i="14"/>
  <c r="L10" i="14"/>
  <c r="AB38" i="6" l="1"/>
  <c r="X38" i="6"/>
  <c r="Q28" i="13"/>
  <c r="C32" i="13"/>
  <c r="L32" i="13"/>
  <c r="K32" i="7"/>
  <c r="J32" i="7"/>
  <c r="H32" i="7"/>
  <c r="M10" i="7"/>
  <c r="Q10" i="7" s="1"/>
  <c r="Q11" i="7"/>
  <c r="Q20" i="7"/>
  <c r="M19" i="7"/>
  <c r="Q10" i="13"/>
  <c r="L28" i="13"/>
  <c r="F32" i="13"/>
  <c r="E32" i="13"/>
  <c r="Q22" i="13"/>
  <c r="M22" i="7"/>
  <c r="Q22" i="7" s="1"/>
  <c r="Q23" i="7"/>
  <c r="Q32" i="13"/>
  <c r="O32" i="7"/>
  <c r="M32" i="7"/>
  <c r="M32" i="13" s="1"/>
  <c r="P32" i="7"/>
  <c r="M19" i="13"/>
  <c r="Q20" i="13"/>
  <c r="Q19" i="13" s="1"/>
  <c r="G27" i="13"/>
  <c r="E27" i="7"/>
  <c r="E27" i="13" s="1"/>
  <c r="F27" i="7"/>
  <c r="F27" i="13" s="1"/>
  <c r="G35" i="7"/>
  <c r="C27" i="7"/>
  <c r="D32" i="7"/>
  <c r="B13" i="14"/>
  <c r="E13" i="14"/>
  <c r="D11" i="14"/>
  <c r="E11" i="14"/>
  <c r="L13" i="14"/>
  <c r="D13" i="14"/>
  <c r="L9" i="14"/>
  <c r="N32" i="7" l="1"/>
  <c r="C27" i="13"/>
  <c r="Q19" i="7"/>
  <c r="H32" i="13"/>
  <c r="I32" i="7"/>
  <c r="AG38" i="6"/>
  <c r="AH38" i="6" s="1"/>
  <c r="AC38" i="6"/>
  <c r="D32" i="13"/>
  <c r="D27" i="7"/>
  <c r="D27" i="13" s="1"/>
  <c r="P32" i="13"/>
  <c r="O32" i="13"/>
  <c r="E35" i="7"/>
  <c r="F35" i="7"/>
  <c r="J32" i="13"/>
  <c r="K32" i="13"/>
  <c r="C35" i="7"/>
  <c r="G36" i="7"/>
  <c r="G42" i="7" s="1"/>
  <c r="N32" i="13"/>
  <c r="I13" i="14"/>
  <c r="N13" i="14"/>
  <c r="C13" i="14"/>
  <c r="M13" i="14"/>
  <c r="G13" i="14"/>
  <c r="J13" i="14"/>
  <c r="B11" i="14"/>
  <c r="C11" i="14"/>
  <c r="O13" i="14"/>
  <c r="G39" i="7" l="1"/>
  <c r="D35" i="7"/>
  <c r="I32" i="13"/>
  <c r="C36" i="7"/>
  <c r="H13" i="14"/>
  <c r="D9" i="7" l="1"/>
  <c r="C71" i="6"/>
  <c r="C42" i="7"/>
  <c r="C39" i="7"/>
  <c r="D18" i="7" l="1"/>
  <c r="C75" i="6"/>
  <c r="C74" i="6"/>
  <c r="C76" i="6" l="1"/>
  <c r="C77" i="6" s="1"/>
  <c r="D36" i="7"/>
  <c r="D39" i="7" s="1"/>
  <c r="C80" i="6" l="1"/>
  <c r="C81" i="6"/>
  <c r="C85" i="6" s="1"/>
  <c r="E9" i="7"/>
  <c r="D71" i="6"/>
  <c r="D42" i="7"/>
  <c r="E18" i="7" l="1"/>
  <c r="C31" i="13"/>
  <c r="C84" i="6"/>
  <c r="C79" i="6"/>
  <c r="D75" i="6"/>
  <c r="D74" i="6"/>
  <c r="C17" i="13" l="1"/>
  <c r="C83" i="6"/>
  <c r="D76" i="6" s="1"/>
  <c r="D77" i="6" s="1"/>
  <c r="C29" i="13"/>
  <c r="E36" i="7"/>
  <c r="B12" i="14"/>
  <c r="D80" i="6" l="1"/>
  <c r="D81" i="6"/>
  <c r="D85" i="6" s="1"/>
  <c r="F9" i="7"/>
  <c r="E71" i="6"/>
  <c r="E42" i="7"/>
  <c r="C15" i="13"/>
  <c r="E39" i="7"/>
  <c r="H30" i="13"/>
  <c r="C35" i="13"/>
  <c r="B7" i="14"/>
  <c r="B15" i="14" l="1"/>
  <c r="H16" i="13"/>
  <c r="C18" i="13"/>
  <c r="F18" i="7"/>
  <c r="D31" i="13"/>
  <c r="D84" i="6"/>
  <c r="D79" i="6"/>
  <c r="E75" i="6"/>
  <c r="E74" i="6"/>
  <c r="D17" i="13" l="1"/>
  <c r="D83" i="6"/>
  <c r="E76" i="6" s="1"/>
  <c r="E77" i="6" s="1"/>
  <c r="D29" i="13"/>
  <c r="C36" i="13"/>
  <c r="F36" i="7"/>
  <c r="C12" i="14"/>
  <c r="E80" i="6" l="1"/>
  <c r="E81" i="6"/>
  <c r="E85" i="6" s="1"/>
  <c r="L9" i="7"/>
  <c r="F71" i="6"/>
  <c r="F42" i="7"/>
  <c r="D9" i="13"/>
  <c r="C42" i="13"/>
  <c r="I30" i="13"/>
  <c r="D35" i="13"/>
  <c r="D15" i="13"/>
  <c r="F39" i="7"/>
  <c r="C39" i="13"/>
  <c r="C7" i="14"/>
  <c r="C15" i="14" l="1"/>
  <c r="I16" i="13"/>
  <c r="D18" i="13"/>
  <c r="F75" i="6"/>
  <c r="F74" i="6"/>
  <c r="H9" i="7"/>
  <c r="L18" i="7"/>
  <c r="E31" i="13"/>
  <c r="E84" i="6"/>
  <c r="E79" i="6"/>
  <c r="L27" i="7" l="1"/>
  <c r="E17" i="13"/>
  <c r="E83" i="6"/>
  <c r="F76" i="6" s="1"/>
  <c r="F77" i="6" s="1"/>
  <c r="E29" i="13"/>
  <c r="H18" i="7"/>
  <c r="D36" i="13"/>
  <c r="D39" i="13" s="1"/>
  <c r="D12" i="14"/>
  <c r="F80" i="6" l="1"/>
  <c r="F81" i="6"/>
  <c r="F85" i="6" s="1"/>
  <c r="E9" i="13"/>
  <c r="D42" i="13"/>
  <c r="J30" i="13"/>
  <c r="E35" i="13"/>
  <c r="E15" i="13"/>
  <c r="L27" i="13"/>
  <c r="J27" i="7"/>
  <c r="K27" i="7"/>
  <c r="H27" i="7"/>
  <c r="L35" i="7"/>
  <c r="D7" i="14"/>
  <c r="I27" i="7" l="1"/>
  <c r="I35" i="7" s="1"/>
  <c r="D15" i="14"/>
  <c r="I27" i="13"/>
  <c r="L36" i="7"/>
  <c r="L42" i="7" s="1"/>
  <c r="K27" i="13"/>
  <c r="K35" i="7"/>
  <c r="H27" i="13"/>
  <c r="H35" i="7"/>
  <c r="J27" i="13"/>
  <c r="J35" i="7"/>
  <c r="J16" i="13"/>
  <c r="E18" i="13"/>
  <c r="F31" i="13"/>
  <c r="F84" i="6"/>
  <c r="F79" i="6"/>
  <c r="J11" i="14"/>
  <c r="H11" i="14"/>
  <c r="G11" i="14"/>
  <c r="I11" i="14"/>
  <c r="L39" i="7" l="1"/>
  <c r="F17" i="13"/>
  <c r="F83" i="6"/>
  <c r="F29" i="13"/>
  <c r="G31" i="13"/>
  <c r="G29" i="13" s="1"/>
  <c r="E36" i="13"/>
  <c r="E39" i="13" s="1"/>
  <c r="H36" i="7"/>
  <c r="H39" i="7" s="1"/>
  <c r="E12" i="14"/>
  <c r="C12" i="15" l="1"/>
  <c r="G35" i="13"/>
  <c r="G71" i="6"/>
  <c r="I9" i="7"/>
  <c r="H42" i="7"/>
  <c r="F9" i="13"/>
  <c r="E42" i="13"/>
  <c r="K30" i="13"/>
  <c r="F35" i="13"/>
  <c r="F15" i="13"/>
  <c r="G17" i="13"/>
  <c r="G15" i="13" s="1"/>
  <c r="E7" i="14"/>
  <c r="E15" i="14" l="1"/>
  <c r="K16" i="13"/>
  <c r="L30" i="13"/>
  <c r="F18" i="13"/>
  <c r="I18" i="7"/>
  <c r="C8" i="15"/>
  <c r="G18" i="13"/>
  <c r="G75" i="6"/>
  <c r="G74" i="6"/>
  <c r="D12" i="15"/>
  <c r="F12" i="15" s="1"/>
  <c r="C9" i="15"/>
  <c r="D9" i="15" s="1"/>
  <c r="F9" i="15" s="1"/>
  <c r="I36" i="7" l="1"/>
  <c r="I39" i="7" s="1"/>
  <c r="F36" i="13"/>
  <c r="F39" i="13" s="1"/>
  <c r="L16" i="13"/>
  <c r="G76" i="6"/>
  <c r="G77" i="6" s="1"/>
  <c r="G80" i="6" s="1"/>
  <c r="G36" i="13"/>
  <c r="G39" i="13" s="1"/>
  <c r="D8" i="15"/>
  <c r="F8" i="15" s="1"/>
  <c r="C5" i="15"/>
  <c r="D5" i="15" s="1"/>
  <c r="F5" i="15" s="1"/>
  <c r="H31" i="13" l="1"/>
  <c r="G84" i="6"/>
  <c r="G79" i="6"/>
  <c r="C14" i="15"/>
  <c r="D14" i="15" s="1"/>
  <c r="F14" i="15" s="1"/>
  <c r="G42" i="13"/>
  <c r="L9" i="13"/>
  <c r="F42" i="13"/>
  <c r="J9" i="7"/>
  <c r="I42" i="7"/>
  <c r="G81" i="6"/>
  <c r="G85" i="6" s="1"/>
  <c r="H71" i="6" s="1"/>
  <c r="H75" i="6" l="1"/>
  <c r="H74" i="6"/>
  <c r="J18" i="7"/>
  <c r="H9" i="13"/>
  <c r="H17" i="13"/>
  <c r="G83" i="6"/>
  <c r="H29" i="13"/>
  <c r="G12" i="14"/>
  <c r="M30" i="13" l="1"/>
  <c r="H35" i="13"/>
  <c r="H76" i="6"/>
  <c r="H77" i="6" s="1"/>
  <c r="H15" i="13"/>
  <c r="J36" i="7"/>
  <c r="J39" i="7" s="1"/>
  <c r="G7" i="14"/>
  <c r="H80" i="6" l="1"/>
  <c r="H79" i="6" s="1"/>
  <c r="H83" i="6" s="1"/>
  <c r="H81" i="6"/>
  <c r="H85" i="6" s="1"/>
  <c r="G15" i="14"/>
  <c r="M16" i="13"/>
  <c r="K9" i="7"/>
  <c r="I71" i="6"/>
  <c r="J42" i="7"/>
  <c r="H18" i="13"/>
  <c r="I17" i="13" l="1"/>
  <c r="H84" i="6"/>
  <c r="I31" i="13"/>
  <c r="I29" i="13" s="1"/>
  <c r="K18" i="7"/>
  <c r="I15" i="13"/>
  <c r="H36" i="13"/>
  <c r="H39" i="13" s="1"/>
  <c r="I75" i="6"/>
  <c r="I74" i="6"/>
  <c r="H12" i="14"/>
  <c r="H7" i="14"/>
  <c r="H15" i="14" l="1"/>
  <c r="I76" i="6"/>
  <c r="I77" i="6" s="1"/>
  <c r="I9" i="13"/>
  <c r="H42" i="13"/>
  <c r="N30" i="13"/>
  <c r="I35" i="13"/>
  <c r="N16" i="13"/>
  <c r="K36" i="7"/>
  <c r="K39" i="7" s="1"/>
  <c r="I80" i="6" l="1"/>
  <c r="I81" i="6"/>
  <c r="I85" i="6" s="1"/>
  <c r="J71" i="6" s="1"/>
  <c r="I18" i="13"/>
  <c r="Q9" i="7"/>
  <c r="K42" i="7"/>
  <c r="J75" i="6" l="1"/>
  <c r="J74" i="6"/>
  <c r="I36" i="13"/>
  <c r="I39" i="13" s="1"/>
  <c r="Q18" i="7"/>
  <c r="M9" i="7"/>
  <c r="J31" i="13"/>
  <c r="I84" i="6"/>
  <c r="I79" i="6"/>
  <c r="M18" i="7" l="1"/>
  <c r="J9" i="13"/>
  <c r="I42" i="13"/>
  <c r="J17" i="13"/>
  <c r="I83" i="6"/>
  <c r="J76" i="6" s="1"/>
  <c r="J77" i="6" s="1"/>
  <c r="J29" i="13"/>
  <c r="Q27" i="7"/>
  <c r="I12" i="14"/>
  <c r="J80" i="6" l="1"/>
  <c r="J81" i="6"/>
  <c r="J85" i="6" s="1"/>
  <c r="Q27" i="13"/>
  <c r="O27" i="7"/>
  <c r="P27" i="7"/>
  <c r="M27" i="7"/>
  <c r="Q35" i="7"/>
  <c r="O30" i="13"/>
  <c r="J35" i="13"/>
  <c r="J15" i="13"/>
  <c r="J18" i="13" s="1"/>
  <c r="I7" i="14"/>
  <c r="N27" i="7" l="1"/>
  <c r="N35" i="7" s="1"/>
  <c r="I15" i="14"/>
  <c r="N27" i="13"/>
  <c r="O16" i="13"/>
  <c r="Q36" i="7"/>
  <c r="Q42" i="7" s="1"/>
  <c r="P27" i="13"/>
  <c r="P35" i="7"/>
  <c r="J36" i="13"/>
  <c r="J39" i="13" s="1"/>
  <c r="M27" i="13"/>
  <c r="M35" i="7"/>
  <c r="O27" i="13"/>
  <c r="O35" i="7"/>
  <c r="K31" i="13"/>
  <c r="J84" i="6"/>
  <c r="J79" i="6"/>
  <c r="N11" i="14"/>
  <c r="O11" i="14"/>
  <c r="M11" i="14"/>
  <c r="L11" i="14"/>
  <c r="Q39" i="7" l="1"/>
  <c r="K17" i="13"/>
  <c r="J83" i="6"/>
  <c r="K29" i="13"/>
  <c r="L31" i="13"/>
  <c r="L29" i="13" s="1"/>
  <c r="L35" i="13" s="1"/>
  <c r="M36" i="7"/>
  <c r="K9" i="13"/>
  <c r="J42" i="13"/>
  <c r="J12" i="14"/>
  <c r="N9" i="7" l="1"/>
  <c r="K71" i="6"/>
  <c r="M42" i="7"/>
  <c r="M39" i="7"/>
  <c r="P30" i="13"/>
  <c r="K35" i="13"/>
  <c r="K15" i="13"/>
  <c r="L17" i="13"/>
  <c r="L15" i="13" s="1"/>
  <c r="J7" i="14"/>
  <c r="J15" i="14" l="1"/>
  <c r="L18" i="13"/>
  <c r="K75" i="6"/>
  <c r="K74" i="6"/>
  <c r="P16" i="13"/>
  <c r="Q30" i="13"/>
  <c r="K18" i="13"/>
  <c r="N18" i="7"/>
  <c r="Q16" i="13" l="1"/>
  <c r="K76" i="6"/>
  <c r="K77" i="6" s="1"/>
  <c r="L36" i="13"/>
  <c r="L42" i="13" s="1"/>
  <c r="N36" i="7"/>
  <c r="N39" i="7" s="1"/>
  <c r="K36" i="13"/>
  <c r="K39" i="13" s="1"/>
  <c r="K80" i="6" l="1"/>
  <c r="K81" i="6"/>
  <c r="K85" i="6" s="1"/>
  <c r="Q9" i="13"/>
  <c r="K42" i="13"/>
  <c r="O9" i="7"/>
  <c r="L71" i="6"/>
  <c r="N42" i="7"/>
  <c r="L39" i="13"/>
  <c r="O18" i="7" l="1"/>
  <c r="M9" i="13"/>
  <c r="M31" i="13"/>
  <c r="K84" i="6"/>
  <c r="K79" i="6"/>
  <c r="L75" i="6"/>
  <c r="L74" i="6"/>
  <c r="M17" i="13" l="1"/>
  <c r="K83" i="6"/>
  <c r="L76" i="6" s="1"/>
  <c r="L77" i="6" s="1"/>
  <c r="M29" i="13"/>
  <c r="O36" i="7"/>
  <c r="O39" i="7" s="1"/>
  <c r="L12" i="14"/>
  <c r="L80" i="6" l="1"/>
  <c r="L81" i="6"/>
  <c r="L85" i="6" s="1"/>
  <c r="M71" i="6" s="1"/>
  <c r="M35" i="13"/>
  <c r="P9" i="7"/>
  <c r="O42" i="7"/>
  <c r="M15" i="13"/>
  <c r="L7" i="14"/>
  <c r="L15" i="14" l="1"/>
  <c r="M18" i="13"/>
  <c r="P18" i="7"/>
  <c r="M75" i="6"/>
  <c r="M74" i="6"/>
  <c r="N31" i="13"/>
  <c r="L84" i="6"/>
  <c r="L79" i="6"/>
  <c r="N17" i="13" l="1"/>
  <c r="L83" i="6"/>
  <c r="N29" i="13"/>
  <c r="M76" i="6"/>
  <c r="M77" i="6" s="1"/>
  <c r="P36" i="7"/>
  <c r="P39" i="7" s="1"/>
  <c r="M36" i="13"/>
  <c r="M39" i="13" s="1"/>
  <c r="M12" i="14"/>
  <c r="M80" i="6" l="1"/>
  <c r="M81" i="6"/>
  <c r="M85" i="6" s="1"/>
  <c r="N71" i="6" s="1"/>
  <c r="N9" i="13"/>
  <c r="M42" i="13"/>
  <c r="P42" i="7"/>
  <c r="N35" i="13"/>
  <c r="N15" i="13"/>
  <c r="M7" i="14"/>
  <c r="M15" i="14" l="1"/>
  <c r="N75" i="6"/>
  <c r="N74" i="6"/>
  <c r="N18" i="13"/>
  <c r="O31" i="13"/>
  <c r="M84" i="6"/>
  <c r="M79" i="6"/>
  <c r="N36" i="13" l="1"/>
  <c r="N39" i="13" s="1"/>
  <c r="O17" i="13"/>
  <c r="M83" i="6"/>
  <c r="O29" i="13"/>
  <c r="N76" i="6"/>
  <c r="N77" i="6" s="1"/>
  <c r="N12" i="14"/>
  <c r="N81" i="6" l="1"/>
  <c r="N85" i="6" s="1"/>
  <c r="N80" i="6"/>
  <c r="O35" i="13"/>
  <c r="O15" i="13"/>
  <c r="O9" i="13"/>
  <c r="N42" i="13"/>
  <c r="N7" i="14"/>
  <c r="N15" i="14" l="1"/>
  <c r="O18" i="13"/>
  <c r="P31" i="13"/>
  <c r="N84" i="6"/>
  <c r="N79" i="6"/>
  <c r="N83" i="6" l="1"/>
  <c r="P17" i="13"/>
  <c r="P29" i="13"/>
  <c r="Q31" i="13"/>
  <c r="Q29" i="13" s="1"/>
  <c r="Q35" i="13" s="1"/>
  <c r="O36" i="13"/>
  <c r="O39" i="13" s="1"/>
  <c r="O12" i="14"/>
  <c r="P15" i="13" l="1"/>
  <c r="Q17" i="13"/>
  <c r="Q15" i="13" s="1"/>
  <c r="P9" i="13"/>
  <c r="O42" i="13"/>
  <c r="P35" i="13"/>
  <c r="O7" i="14"/>
  <c r="O15" i="14" l="1"/>
  <c r="Q18" i="13"/>
  <c r="P18" i="13"/>
  <c r="P36" i="13" l="1"/>
  <c r="P42" i="13" s="1"/>
  <c r="Q36" i="13"/>
  <c r="Q42" i="13" s="1"/>
  <c r="Q39" i="13" l="1"/>
  <c r="P39" i="13"/>
</calcChain>
</file>

<file path=xl/sharedStrings.xml><?xml version="1.0" encoding="utf-8"?>
<sst xmlns="http://schemas.openxmlformats.org/spreadsheetml/2006/main" count="372" uniqueCount="139">
  <si>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</si>
  <si>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</si>
  <si>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</si>
  <si>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</si>
  <si>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</si>
  <si>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</si>
  <si>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</si>
  <si>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</si>
  <si>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</si>
  <si>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</si>
  <si>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</si>
  <si>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</si>
  <si>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</si>
  <si>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</si>
  <si>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</si>
  <si>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</si>
  <si>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</si>
  <si>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</si>
  <si>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</si>
  <si>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</si>
  <si>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</si>
  <si>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</si>
  <si>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</si>
  <si>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</si>
  <si>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</si>
  <si>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</si>
  <si>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</si>
  <si>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</si>
  <si>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</si>
  <si>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</si>
  <si>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</si>
  <si>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</si>
  <si>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</si>
  <si>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</si>
  <si>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</si>
  <si>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</si>
  <si>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</si>
  <si>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</si>
  <si>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</si>
  <si>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</si>
  <si>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</si>
  <si>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</si>
  <si>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</si>
  <si>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</si>
  <si>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</si>
  <si>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</si>
  <si>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</si>
  <si>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</si>
  <si>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</si>
  <si>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</si>
  <si>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</si>
  <si>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</si>
  <si>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</si>
  <si>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</si>
  <si>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</si>
  <si>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</si>
  <si>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</si>
  <si>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</si>
  <si>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</si>
  <si>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</si>
  <si>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</si>
  <si>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</si>
  <si>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</si>
  <si>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</si>
  <si>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</si>
  <si>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</si>
  <si>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</si>
  <si>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</si>
  <si>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</si>
  <si>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</si>
  <si>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</si>
  <si>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</si>
  <si>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</si>
  <si>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</si>
  <si>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</si>
  <si>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</si>
  <si>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</si>
  <si>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</si>
  <si>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</si>
  <si>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</si>
  <si>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</si>
  <si>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</si>
  <si>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</si>
  <si>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 xml:space="preserve">Переработка на пищевые цели </t>
  </si>
  <si>
    <t>Переработка на пищевые цели</t>
  </si>
  <si>
    <t>Производственное потребление</t>
  </si>
  <si>
    <t>Производство сухого молока</t>
  </si>
  <si>
    <t>2.1 Производственное потребление</t>
  </si>
  <si>
    <t>2.3 Потери</t>
  </si>
  <si>
    <t>2.4 Вывоз, включая экспорт</t>
  </si>
  <si>
    <t>2.5 Личное потребление</t>
  </si>
  <si>
    <t>Объем производственного потребления в предыдущем году</t>
  </si>
  <si>
    <t>Объем переработки на пищевые цели в предыдущем году</t>
  </si>
  <si>
    <t>2.2 Переработка на пищевые цели</t>
  </si>
  <si>
    <t xml:space="preserve">Изменение производственного потребления относительно предыдущего года </t>
  </si>
  <si>
    <t>Объем производства в предыдущем году</t>
  </si>
  <si>
    <t>Увеличение объема производства вследствие ввода новых мощностей в соответствующем регионе</t>
  </si>
  <si>
    <t>Снижение объема  производства вследствие вывода существующих мощностей</t>
  </si>
  <si>
    <t>Изменение  производства вследствие изменения загрузки существующих мощностей</t>
  </si>
  <si>
    <t>Таблица 6 - Данные прогноза социально-экономического развития</t>
  </si>
  <si>
    <t xml:space="preserve">Прогнозное среднедушевое потребление сухого молока </t>
  </si>
  <si>
    <t>тыс. т</t>
  </si>
  <si>
    <t>тыс. чел.</t>
  </si>
  <si>
    <t>(Таблица содержит фактические значения за 3 предыдущих года и плановые на 3 прогнозных года.</t>
  </si>
  <si>
    <t>Таблица 1 - Данные по инвестиционным проектам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</si>
  <si>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</si>
  <si>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t>Численность населения на соответствующий год</t>
  </si>
  <si>
    <t>уд. вес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</si>
  <si>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</si>
  <si>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</si>
  <si>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</si>
  <si>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Переработка (п.2.1 Баланса)</t>
  </si>
  <si>
    <t>Производство (п.1.2 Баланса)</t>
  </si>
  <si>
    <t xml:space="preserve">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</si>
  <si>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Таблица 5 - Данные прогноза социально-экономического развития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</si>
  <si>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</si>
  <si>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 xml:space="preserve">1.2 Производство 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</si>
  <si>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</si>
  <si>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</si>
  <si>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</si>
  <si>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r>
      <t xml:space="preserve">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</si>
  <si>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</si>
  <si>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</si>
  <si>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и </t>
    </r>
    <r>
      <rPr>
        <i/>
        <sz val="10"/>
        <color rgb="FFFF0000"/>
        <rFont val="Times New Roman"/>
        <family val="1"/>
        <charset val="204"/>
      </rPr>
      <t>"2.1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</si>
  <si>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</si>
  <si>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>запасов для авто корректировки на листе "3.Прогноз.С_корректировкой таб7"</t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</si>
  <si>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"2.5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</si>
  <si>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 xml:space="preserve">"2.5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</si>
  <si>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t>Прогнозная численность населения</t>
  </si>
  <si>
    <t>Cсреднедушевое потребление сухого молока</t>
  </si>
  <si>
    <t>кг/чел.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</si>
  <si>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</si>
  <si>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</si>
  <si>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</si>
  <si>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</si>
  <si>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2.3 Вывоз, включая экспорт</t>
  </si>
  <si>
    <t>2.4 Личное потребление</t>
  </si>
  <si>
    <t>1.2 Производство</t>
  </si>
  <si>
    <t>000227391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</si>
</sst>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38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18"/>
      </patternFill>
    </fill>
    <fill>
      <patternFill patternType="solid">
        <fgColor rgb="FFB9CDE5"/>
        <bgColor indexed="5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165" fontId="21" fillId="0" borderId="0" applyBorder="0" applyProtection="0"/>
    <xf numFmtId="165" fontId="21" fillId="0" borderId="0" applyBorder="0" applyProtection="0"/>
    <xf numFmtId="0" fontId="14" fillId="0" borderId="0"/>
  </cellStyleXfs>
  <cellXfs count="490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167" fontId="1" fillId="0" borderId="0" xfId="0" applyNumberFormat="1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12" fillId="0" borderId="2" xfId="0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7" fontId="1" fillId="0" borderId="0" xfId="0" applyNumberFormat="1" applyFont="1" applyFill="1" applyBorder="1"/>
    <xf numFmtId="167" fontId="2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Protection="1"/>
    <xf numFmtId="49" fontId="16" fillId="0" borderId="0" xfId="0" applyNumberFormat="1" applyFont="1" applyProtection="1">
      <protection locked="0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0" xfId="0" applyNumberFormat="1" applyFont="1"/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/>
    <xf numFmtId="3" fontId="22" fillId="6" borderId="1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0" fontId="2" fillId="0" borderId="22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7" fontId="0" fillId="0" borderId="0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167" fontId="1" fillId="8" borderId="0" xfId="0" applyNumberFormat="1" applyFont="1" applyFill="1"/>
    <xf numFmtId="167" fontId="2" fillId="7" borderId="23" xfId="0" applyNumberFormat="1" applyFont="1" applyFill="1" applyBorder="1" applyAlignment="1">
      <alignment horizontal="right"/>
    </xf>
    <xf numFmtId="167" fontId="2" fillId="8" borderId="23" xfId="0" applyNumberFormat="1" applyFont="1" applyFill="1" applyBorder="1" applyAlignment="1">
      <alignment horizontal="right"/>
    </xf>
    <xf numFmtId="167" fontId="2" fillId="8" borderId="28" xfId="0" applyNumberFormat="1" applyFont="1" applyFill="1" applyBorder="1" applyAlignment="1">
      <alignment horizontal="right"/>
    </xf>
    <xf numFmtId="167" fontId="2" fillId="8" borderId="23" xfId="0" applyNumberFormat="1" applyFont="1" applyFill="1" applyBorder="1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vertical="center" wrapText="1"/>
    </xf>
    <xf numFmtId="0" fontId="8" fillId="0" borderId="0" xfId="0" applyFont="1"/>
    <xf numFmtId="165" fontId="6" fillId="0" borderId="0" xfId="3" applyFont="1" applyBorder="1"/>
    <xf numFmtId="165" fontId="18" fillId="0" borderId="0" xfId="3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/>
    </xf>
    <xf numFmtId="167" fontId="22" fillId="10" borderId="33" xfId="0" applyNumberFormat="1" applyFont="1" applyFill="1" applyBorder="1" applyAlignment="1" applyProtection="1">
      <alignment horizontal="right"/>
      <protection hidden="1"/>
    </xf>
    <xf numFmtId="167" fontId="22" fillId="10" borderId="34" xfId="0" applyNumberFormat="1" applyFont="1" applyFill="1" applyBorder="1" applyAlignment="1" applyProtection="1">
      <alignment horizontal="right"/>
      <protection hidden="1"/>
    </xf>
    <xf numFmtId="167" fontId="22" fillId="10" borderId="0" xfId="0" applyNumberFormat="1" applyFont="1" applyFill="1" applyBorder="1" applyAlignment="1" applyProtection="1">
      <alignment horizontal="right"/>
      <protection hidden="1"/>
    </xf>
    <xf numFmtId="167" fontId="22" fillId="11" borderId="1" xfId="0" applyNumberFormat="1" applyFont="1" applyFill="1" applyBorder="1" applyAlignment="1" applyProtection="1">
      <alignment horizontal="right"/>
      <protection locked="0"/>
    </xf>
    <xf numFmtId="0" fontId="0" fillId="0" borderId="34" xfId="0" applyBorder="1"/>
    <xf numFmtId="167" fontId="2" fillId="8" borderId="45" xfId="0" applyNumberFormat="1" applyFont="1" applyFill="1" applyBorder="1" applyAlignment="1">
      <alignment horizontal="right"/>
    </xf>
    <xf numFmtId="167" fontId="2" fillId="8" borderId="46" xfId="0" applyNumberFormat="1" applyFont="1" applyFill="1" applyBorder="1" applyAlignment="1">
      <alignment horizontal="right"/>
    </xf>
    <xf numFmtId="0" fontId="1" fillId="0" borderId="47" xfId="0" applyFont="1" applyFill="1" applyBorder="1" applyAlignment="1">
      <alignment horizontal="left" indent="1"/>
    </xf>
    <xf numFmtId="0" fontId="1" fillId="0" borderId="27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165" fontId="6" fillId="0" borderId="9" xfId="3" applyFont="1" applyBorder="1"/>
    <xf numFmtId="0" fontId="0" fillId="0" borderId="0" xfId="0" applyAlignment="1"/>
    <xf numFmtId="0" fontId="1" fillId="0" borderId="40" xfId="0" applyFont="1" applyFill="1" applyBorder="1" applyAlignment="1">
      <alignment horizontal="left" vertical="center" wrapText="1" indent="2"/>
    </xf>
    <xf numFmtId="0" fontId="2" fillId="0" borderId="33" xfId="0" applyFont="1" applyBorder="1" applyAlignment="1">
      <alignment horizontal="center"/>
    </xf>
    <xf numFmtId="0" fontId="23" fillId="0" borderId="0" xfId="0" applyFont="1" applyAlignment="1">
      <alignment horizontal="center"/>
    </xf>
    <xf numFmtId="10" fontId="25" fillId="0" borderId="21" xfId="0" applyNumberFormat="1" applyFont="1" applyBorder="1" applyAlignment="1">
      <alignment horizontal="center" vertical="center" wrapText="1"/>
    </xf>
    <xf numFmtId="10" fontId="25" fillId="0" borderId="11" xfId="0" applyNumberFormat="1" applyFont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/>
    </xf>
    <xf numFmtId="10" fontId="24" fillId="0" borderId="0" xfId="0" applyNumberFormat="1" applyFont="1" applyBorder="1" applyAlignment="1">
      <alignment horizontal="left" wrapText="1"/>
    </xf>
    <xf numFmtId="0" fontId="24" fillId="0" borderId="0" xfId="0" applyFont="1" applyFill="1" applyBorder="1" applyAlignment="1">
      <alignment horizontal="center" vertical="center"/>
    </xf>
    <xf numFmtId="167" fontId="24" fillId="8" borderId="0" xfId="0" applyNumberFormat="1" applyFont="1" applyFill="1" applyBorder="1"/>
    <xf numFmtId="167" fontId="24" fillId="8" borderId="0" xfId="0" applyNumberFormat="1" applyFont="1" applyFill="1" applyBorder="1" applyAlignment="1">
      <alignment horizontal="center"/>
    </xf>
    <xf numFmtId="167" fontId="24" fillId="0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10" fontId="25" fillId="0" borderId="0" xfId="0" applyNumberFormat="1" applyFont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167" fontId="2" fillId="8" borderId="0" xfId="0" applyNumberFormat="1" applyFont="1" applyFill="1" applyBorder="1"/>
    <xf numFmtId="167" fontId="22" fillId="12" borderId="0" xfId="0" applyNumberFormat="1" applyFont="1" applyFill="1" applyBorder="1" applyAlignment="1" applyProtection="1">
      <alignment horizontal="right"/>
      <protection locked="0"/>
    </xf>
    <xf numFmtId="0" fontId="1" fillId="8" borderId="0" xfId="0" applyFont="1" applyFill="1" applyBorder="1"/>
    <xf numFmtId="167" fontId="0" fillId="8" borderId="0" xfId="0" applyNumberFormat="1" applyFill="1" applyAlignment="1">
      <alignment horizontal="center"/>
    </xf>
    <xf numFmtId="0" fontId="25" fillId="0" borderId="0" xfId="0" applyFont="1" applyBorder="1" applyAlignment="1"/>
    <xf numFmtId="0" fontId="25" fillId="0" borderId="33" xfId="0" applyFont="1" applyBorder="1" applyAlignment="1">
      <alignment horizontal="center"/>
    </xf>
    <xf numFmtId="0" fontId="24" fillId="0" borderId="2" xfId="0" applyFont="1" applyFill="1" applyBorder="1" applyAlignment="1">
      <alignment horizontal="right"/>
    </xf>
    <xf numFmtId="168" fontId="24" fillId="8" borderId="1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24" fillId="0" borderId="0" xfId="0" applyNumberFormat="1" applyFont="1" applyFill="1" applyBorder="1"/>
    <xf numFmtId="0" fontId="1" fillId="8" borderId="39" xfId="0" applyFont="1" applyFill="1" applyBorder="1" applyAlignment="1">
      <alignment horizontal="center"/>
    </xf>
    <xf numFmtId="167" fontId="2" fillId="8" borderId="51" xfId="0" applyNumberFormat="1" applyFont="1" applyFill="1" applyBorder="1"/>
    <xf numFmtId="0" fontId="1" fillId="8" borderId="52" xfId="0" applyFont="1" applyFill="1" applyBorder="1" applyAlignment="1">
      <alignment horizontal="left"/>
    </xf>
    <xf numFmtId="0" fontId="1" fillId="8" borderId="44" xfId="0" applyFont="1" applyFill="1" applyBorder="1" applyAlignment="1">
      <alignment horizontal="left"/>
    </xf>
    <xf numFmtId="164" fontId="2" fillId="0" borderId="46" xfId="0" applyNumberFormat="1" applyFont="1" applyBorder="1" applyAlignment="1">
      <alignment horizontal="right"/>
    </xf>
    <xf numFmtId="0" fontId="24" fillId="0" borderId="54" xfId="0" applyFont="1" applyFill="1" applyBorder="1" applyAlignment="1">
      <alignment horizontal="center" vertical="center"/>
    </xf>
    <xf numFmtId="169" fontId="13" fillId="0" borderId="8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169" fontId="13" fillId="0" borderId="41" xfId="0" applyNumberFormat="1" applyFont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7" fontId="2" fillId="3" borderId="19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49" xfId="0" applyNumberFormat="1" applyFont="1" applyBorder="1" applyAlignment="1">
      <alignment horizontal="right" vertical="center"/>
    </xf>
    <xf numFmtId="167" fontId="1" fillId="8" borderId="7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2" fillId="13" borderId="19" xfId="0" applyNumberFormat="1" applyFont="1" applyFill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/>
    </xf>
    <xf numFmtId="167" fontId="20" fillId="4" borderId="6" xfId="0" applyNumberFormat="1" applyFont="1" applyFill="1" applyBorder="1" applyAlignment="1">
      <alignment horizontal="right" vertical="center"/>
    </xf>
    <xf numFmtId="167" fontId="2" fillId="3" borderId="49" xfId="0" applyNumberFormat="1" applyFont="1" applyFill="1" applyBorder="1" applyAlignment="1">
      <alignment horizontal="right" vertical="center"/>
    </xf>
    <xf numFmtId="167" fontId="2" fillId="13" borderId="23" xfId="0" applyNumberFormat="1" applyFont="1" applyFill="1" applyBorder="1" applyAlignment="1">
      <alignment horizontal="right" vertical="center"/>
    </xf>
    <xf numFmtId="167" fontId="2" fillId="3" borderId="7" xfId="0" applyNumberFormat="1" applyFont="1" applyFill="1" applyBorder="1" applyAlignment="1">
      <alignment horizontal="right"/>
    </xf>
    <xf numFmtId="0" fontId="27" fillId="0" borderId="0" xfId="0" applyFont="1"/>
    <xf numFmtId="0" fontId="28" fillId="0" borderId="0" xfId="0" applyFont="1" applyFill="1"/>
    <xf numFmtId="0" fontId="2" fillId="3" borderId="22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9" xfId="0" applyFont="1" applyFill="1" applyBorder="1"/>
    <xf numFmtId="0" fontId="22" fillId="0" borderId="63" xfId="0" applyFont="1" applyFill="1" applyBorder="1" applyAlignment="1">
      <alignment horizontal="left" indent="1"/>
    </xf>
    <xf numFmtId="0" fontId="1" fillId="0" borderId="64" xfId="0" applyFont="1" applyBorder="1" applyAlignment="1">
      <alignment horizontal="center"/>
    </xf>
    <xf numFmtId="164" fontId="2" fillId="0" borderId="65" xfId="0" applyNumberFormat="1" applyFont="1" applyBorder="1" applyAlignment="1">
      <alignment horizontal="right"/>
    </xf>
    <xf numFmtId="164" fontId="2" fillId="0" borderId="66" xfId="0" applyNumberFormat="1" applyFont="1" applyBorder="1" applyAlignment="1">
      <alignment horizontal="right"/>
    </xf>
    <xf numFmtId="0" fontId="22" fillId="0" borderId="44" xfId="0" applyFont="1" applyFill="1" applyBorder="1" applyAlignment="1">
      <alignment horizontal="left" indent="1"/>
    </xf>
    <xf numFmtId="0" fontId="2" fillId="3" borderId="22" xfId="0" applyFont="1" applyFill="1" applyBorder="1" applyAlignment="1">
      <alignment horizontal="left"/>
    </xf>
    <xf numFmtId="0" fontId="30" fillId="0" borderId="22" xfId="0" applyFont="1" applyBorder="1" applyAlignment="1">
      <alignment vertical="center" wrapText="1"/>
    </xf>
    <xf numFmtId="167" fontId="22" fillId="11" borderId="17" xfId="0" applyNumberFormat="1" applyFont="1" applyFill="1" applyBorder="1" applyAlignment="1" applyProtection="1">
      <alignment horizontal="right" vertical="center"/>
      <protection locked="0"/>
    </xf>
    <xf numFmtId="167" fontId="22" fillId="11" borderId="14" xfId="0" applyNumberFormat="1" applyFont="1" applyFill="1" applyBorder="1" applyAlignment="1" applyProtection="1">
      <alignment horizontal="right" vertical="center"/>
      <protection locked="0"/>
    </xf>
    <xf numFmtId="167" fontId="22" fillId="11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6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164" fontId="2" fillId="2" borderId="49" xfId="0" applyNumberFormat="1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center" vertical="center"/>
    </xf>
    <xf numFmtId="167" fontId="1" fillId="0" borderId="29" xfId="0" applyNumberFormat="1" applyFont="1" applyBorder="1" applyAlignment="1">
      <alignment horizontal="right" vertical="center"/>
    </xf>
    <xf numFmtId="167" fontId="1" fillId="0" borderId="30" xfId="0" applyNumberFormat="1" applyFont="1" applyBorder="1" applyAlignment="1">
      <alignment horizontal="right" vertical="center"/>
    </xf>
    <xf numFmtId="167" fontId="1" fillId="0" borderId="31" xfId="0" applyNumberFormat="1" applyFont="1" applyBorder="1" applyAlignment="1">
      <alignment horizontal="right" vertical="center"/>
    </xf>
    <xf numFmtId="167" fontId="1" fillId="0" borderId="32" xfId="0" applyNumberFormat="1" applyFont="1" applyBorder="1" applyAlignment="1">
      <alignment horizontal="right" vertical="center"/>
    </xf>
    <xf numFmtId="167" fontId="1" fillId="0" borderId="16" xfId="0" applyNumberFormat="1" applyFont="1" applyBorder="1" applyAlignment="1">
      <alignment horizontal="right" vertical="center"/>
    </xf>
    <xf numFmtId="167" fontId="1" fillId="0" borderId="13" xfId="0" applyNumberFormat="1" applyFont="1" applyBorder="1" applyAlignment="1">
      <alignment horizontal="right" vertical="center"/>
    </xf>
    <xf numFmtId="164" fontId="2" fillId="2" borderId="61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2" borderId="67" xfId="0" applyNumberFormat="1" applyFont="1" applyFill="1" applyBorder="1" applyAlignment="1">
      <alignment horizontal="right" vertical="center"/>
    </xf>
    <xf numFmtId="164" fontId="2" fillId="2" borderId="69" xfId="0" applyNumberFormat="1" applyFont="1" applyFill="1" applyBorder="1" applyAlignment="1">
      <alignment horizontal="right" vertical="center"/>
    </xf>
    <xf numFmtId="164" fontId="2" fillId="2" borderId="68" xfId="0" applyNumberFormat="1" applyFont="1" applyFill="1" applyBorder="1" applyAlignment="1">
      <alignment horizontal="right" vertical="center"/>
    </xf>
    <xf numFmtId="164" fontId="2" fillId="2" borderId="70" xfId="0" applyNumberFormat="1" applyFont="1" applyFill="1" applyBorder="1" applyAlignment="1">
      <alignment horizontal="right" vertical="center"/>
    </xf>
    <xf numFmtId="164" fontId="2" fillId="2" borderId="62" xfId="0" applyNumberFormat="1" applyFont="1" applyFill="1" applyBorder="1" applyAlignment="1">
      <alignment horizontal="right" vertical="center"/>
    </xf>
    <xf numFmtId="167" fontId="1" fillId="0" borderId="61" xfId="0" applyNumberFormat="1" applyFont="1" applyBorder="1" applyAlignment="1">
      <alignment horizontal="right" vertical="center"/>
    </xf>
    <xf numFmtId="167" fontId="1" fillId="0" borderId="4" xfId="0" applyNumberFormat="1" applyFont="1" applyBorder="1" applyAlignment="1">
      <alignment horizontal="right" vertical="center"/>
    </xf>
    <xf numFmtId="167" fontId="1" fillId="0" borderId="67" xfId="0" applyNumberFormat="1" applyFont="1" applyBorder="1" applyAlignment="1">
      <alignment horizontal="right" vertical="center"/>
    </xf>
    <xf numFmtId="167" fontId="1" fillId="0" borderId="68" xfId="0" applyNumberFormat="1" applyFont="1" applyBorder="1" applyAlignment="1">
      <alignment horizontal="right" vertical="center"/>
    </xf>
    <xf numFmtId="167" fontId="4" fillId="0" borderId="29" xfId="0" applyNumberFormat="1" applyFont="1" applyBorder="1" applyAlignment="1">
      <alignment horizontal="right" vertical="center"/>
    </xf>
    <xf numFmtId="167" fontId="4" fillId="0" borderId="30" xfId="0" applyNumberFormat="1" applyFont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7" fontId="4" fillId="0" borderId="32" xfId="0" applyNumberFormat="1" applyFont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167" fontId="1" fillId="0" borderId="14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1" fillId="0" borderId="26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2" fillId="3" borderId="69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3" fillId="2" borderId="33" xfId="0" applyFont="1" applyFill="1" applyBorder="1" applyAlignment="1">
      <alignment horizontal="center" vertical="top"/>
    </xf>
    <xf numFmtId="167" fontId="2" fillId="3" borderId="33" xfId="0" applyNumberFormat="1" applyFont="1" applyFill="1" applyBorder="1" applyAlignment="1">
      <alignment horizontal="right" vertical="top"/>
    </xf>
    <xf numFmtId="0" fontId="1" fillId="0" borderId="40" xfId="0" applyFont="1" applyFill="1" applyBorder="1" applyAlignment="1">
      <alignment horizontal="left" vertical="center" indent="2"/>
    </xf>
    <xf numFmtId="167" fontId="6" fillId="0" borderId="0" xfId="3" applyNumberFormat="1" applyFont="1" applyAlignment="1">
      <alignment horizontal="right" vertical="center"/>
    </xf>
    <xf numFmtId="167" fontId="1" fillId="3" borderId="27" xfId="0" applyNumberFormat="1" applyFont="1" applyFill="1" applyBorder="1"/>
    <xf numFmtId="167" fontId="1" fillId="3" borderId="12" xfId="0" applyNumberFormat="1" applyFont="1" applyFill="1" applyBorder="1"/>
    <xf numFmtId="0" fontId="4" fillId="0" borderId="0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0" fontId="33" fillId="0" borderId="0" xfId="0" applyFont="1" applyBorder="1"/>
    <xf numFmtId="0" fontId="4" fillId="0" borderId="19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1" xfId="0" applyNumberFormat="1" applyFont="1" applyBorder="1" applyAlignment="1">
      <alignment horizontal="left" vertical="center" wrapText="1"/>
    </xf>
    <xf numFmtId="164" fontId="4" fillId="14" borderId="24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4" fontId="13" fillId="0" borderId="19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14" borderId="30" xfId="0" applyNumberFormat="1" applyFont="1" applyFill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9" fontId="13" fillId="0" borderId="7" xfId="0" applyNumberFormat="1" applyFont="1" applyBorder="1" applyAlignment="1">
      <alignment horizontal="right" vertical="center" wrapText="1"/>
    </xf>
    <xf numFmtId="169" fontId="13" fillId="0" borderId="7" xfId="0" applyNumberFormat="1" applyFont="1" applyBorder="1" applyAlignment="1">
      <alignment horizontal="right" vertical="center"/>
    </xf>
    <xf numFmtId="164" fontId="4" fillId="14" borderId="70" xfId="0" applyNumberFormat="1" applyFont="1" applyFill="1" applyBorder="1" applyAlignment="1">
      <alignment horizontal="right" vertical="center"/>
    </xf>
    <xf numFmtId="164" fontId="4" fillId="14" borderId="4" xfId="0" applyNumberFormat="1" applyFont="1" applyFill="1" applyBorder="1" applyAlignment="1">
      <alignment horizontal="right" vertical="center"/>
    </xf>
    <xf numFmtId="164" fontId="13" fillId="0" borderId="20" xfId="0" applyNumberFormat="1" applyFont="1" applyBorder="1" applyAlignment="1">
      <alignment horizontal="right" vertical="center"/>
    </xf>
    <xf numFmtId="164" fontId="4" fillId="14" borderId="32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14" borderId="68" xfId="0" applyNumberFormat="1" applyFont="1" applyFill="1" applyBorder="1" applyAlignment="1">
      <alignment horizontal="right" vertical="center"/>
    </xf>
    <xf numFmtId="164" fontId="4" fillId="8" borderId="19" xfId="0" applyNumberFormat="1" applyFont="1" applyFill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0" fontId="2" fillId="2" borderId="42" xfId="0" applyFont="1" applyFill="1" applyBorder="1" applyAlignment="1">
      <alignment horizontal="left" vertical="center"/>
    </xf>
    <xf numFmtId="167" fontId="2" fillId="3" borderId="35" xfId="0" applyNumberFormat="1" applyFont="1" applyFill="1" applyBorder="1" applyAlignment="1">
      <alignment horizontal="right" vertical="top"/>
    </xf>
    <xf numFmtId="164" fontId="2" fillId="2" borderId="36" xfId="0" applyNumberFormat="1" applyFont="1" applyFill="1" applyBorder="1" applyAlignment="1">
      <alignment horizontal="right" vertical="center"/>
    </xf>
    <xf numFmtId="167" fontId="2" fillId="3" borderId="36" xfId="0" applyNumberFormat="1" applyFont="1" applyFill="1" applyBorder="1" applyAlignment="1">
      <alignment horizontal="right" vertical="center"/>
    </xf>
    <xf numFmtId="0" fontId="1" fillId="3" borderId="42" xfId="0" applyFont="1" applyFill="1" applyBorder="1" applyAlignment="1">
      <alignment horizontal="left" vertical="center" indent="1"/>
    </xf>
    <xf numFmtId="0" fontId="1" fillId="3" borderId="40" xfId="0" applyFont="1" applyFill="1" applyBorder="1" applyAlignment="1">
      <alignment horizontal="left" vertical="center" indent="1"/>
    </xf>
    <xf numFmtId="0" fontId="1" fillId="13" borderId="40" xfId="0" applyFont="1" applyFill="1" applyBorder="1" applyAlignment="1">
      <alignment horizontal="left" vertical="center"/>
    </xf>
    <xf numFmtId="16" fontId="1" fillId="3" borderId="40" xfId="0" applyNumberFormat="1" applyFont="1" applyFill="1" applyBorder="1" applyAlignment="1">
      <alignment horizontal="left" vertical="center" indent="1"/>
    </xf>
    <xf numFmtId="164" fontId="1" fillId="3" borderId="40" xfId="0" applyNumberFormat="1" applyFont="1" applyFill="1" applyBorder="1" applyAlignment="1">
      <alignment horizontal="left" vertical="center" indent="1"/>
    </xf>
    <xf numFmtId="0" fontId="1" fillId="13" borderId="43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13" borderId="1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164" fontId="1" fillId="13" borderId="1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167" fontId="1" fillId="3" borderId="24" xfId="0" applyNumberFormat="1" applyFont="1" applyFill="1" applyBorder="1" applyAlignment="1">
      <alignment horizontal="right" vertical="center"/>
    </xf>
    <xf numFmtId="167" fontId="1" fillId="3" borderId="30" xfId="0" applyNumberFormat="1" applyFont="1" applyFill="1" applyBorder="1" applyAlignment="1">
      <alignment horizontal="right" vertical="center"/>
    </xf>
    <xf numFmtId="167" fontId="1" fillId="3" borderId="32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 vertical="center"/>
    </xf>
    <xf numFmtId="167" fontId="1" fillId="3" borderId="1" xfId="0" applyNumberFormat="1" applyFont="1" applyFill="1" applyBorder="1" applyAlignment="1">
      <alignment horizontal="right" vertical="center"/>
    </xf>
    <xf numFmtId="167" fontId="1" fillId="3" borderId="5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7" fontId="1" fillId="3" borderId="5" xfId="0" applyNumberFormat="1" applyFont="1" applyFill="1" applyBorder="1" applyAlignment="1">
      <alignment horizontal="right"/>
    </xf>
    <xf numFmtId="164" fontId="1" fillId="13" borderId="6" xfId="0" applyNumberFormat="1" applyFont="1" applyFill="1" applyBorder="1" applyAlignment="1">
      <alignment horizontal="right"/>
    </xf>
    <xf numFmtId="164" fontId="1" fillId="13" borderId="49" xfId="0" applyNumberFormat="1" applyFont="1" applyFill="1" applyBorder="1" applyAlignment="1">
      <alignment horizontal="right"/>
    </xf>
    <xf numFmtId="164" fontId="1" fillId="3" borderId="6" xfId="0" applyNumberFormat="1" applyFont="1" applyFill="1" applyBorder="1" applyAlignment="1">
      <alignment horizontal="right"/>
    </xf>
    <xf numFmtId="164" fontId="1" fillId="3" borderId="49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167" fontId="1" fillId="5" borderId="6" xfId="0" applyNumberFormat="1" applyFont="1" applyFill="1" applyBorder="1" applyAlignment="1">
      <alignment horizontal="right" vertical="center"/>
    </xf>
    <xf numFmtId="167" fontId="1" fillId="5" borderId="1" xfId="0" applyNumberFormat="1" applyFont="1" applyFill="1" applyBorder="1" applyAlignment="1">
      <alignment horizontal="right" vertical="center"/>
    </xf>
    <xf numFmtId="167" fontId="1" fillId="5" borderId="5" xfId="0" applyNumberFormat="1" applyFont="1" applyFill="1" applyBorder="1" applyAlignment="1">
      <alignment horizontal="right" vertical="center"/>
    </xf>
    <xf numFmtId="167" fontId="5" fillId="4" borderId="6" xfId="0" applyNumberFormat="1" applyFont="1" applyFill="1" applyBorder="1" applyAlignment="1">
      <alignment horizontal="right" vertical="center"/>
    </xf>
    <xf numFmtId="167" fontId="1" fillId="3" borderId="49" xfId="0" applyNumberFormat="1" applyFont="1" applyFill="1" applyBorder="1" applyAlignment="1">
      <alignment horizontal="right" vertical="center"/>
    </xf>
    <xf numFmtId="167" fontId="5" fillId="4" borderId="49" xfId="0" applyNumberFormat="1" applyFont="1" applyFill="1" applyBorder="1" applyAlignment="1">
      <alignment horizontal="right" vertical="center"/>
    </xf>
    <xf numFmtId="164" fontId="1" fillId="13" borderId="25" xfId="0" applyNumberFormat="1" applyFont="1" applyFill="1" applyBorder="1" applyAlignment="1">
      <alignment horizontal="right"/>
    </xf>
    <xf numFmtId="164" fontId="1" fillId="13" borderId="14" xfId="0" applyNumberFormat="1" applyFont="1" applyFill="1" applyBorder="1" applyAlignment="1">
      <alignment horizontal="right"/>
    </xf>
    <xf numFmtId="164" fontId="1" fillId="13" borderId="26" xfId="0" applyNumberFormat="1" applyFont="1" applyFill="1" applyBorder="1" applyAlignment="1">
      <alignment horizontal="right"/>
    </xf>
    <xf numFmtId="167" fontId="1" fillId="8" borderId="19" xfId="0" applyNumberFormat="1" applyFont="1" applyFill="1" applyBorder="1" applyAlignment="1">
      <alignment horizontal="right" vertical="center"/>
    </xf>
    <xf numFmtId="167" fontId="31" fillId="0" borderId="0" xfId="3" applyNumberFormat="1" applyFont="1" applyAlignment="1">
      <alignment horizontal="right" vertical="center"/>
    </xf>
    <xf numFmtId="167" fontId="30" fillId="0" borderId="0" xfId="3" applyNumberFormat="1" applyFont="1" applyAlignment="1">
      <alignment horizontal="right" vertical="center"/>
    </xf>
    <xf numFmtId="0" fontId="32" fillId="0" borderId="0" xfId="0" applyNumberFormat="1" applyFont="1" applyBorder="1" applyAlignment="1">
      <alignment horizontal="center" vertical="center" wrapText="1"/>
    </xf>
    <xf numFmtId="167" fontId="31" fillId="0" borderId="0" xfId="3" applyNumberFormat="1" applyFont="1" applyAlignment="1">
      <alignment vertical="center"/>
    </xf>
    <xf numFmtId="167" fontId="30" fillId="0" borderId="0" xfId="3" applyNumberFormat="1" applyFont="1" applyAlignment="1">
      <alignment vertical="center"/>
    </xf>
    <xf numFmtId="0" fontId="0" fillId="0" borderId="0" xfId="0" applyAlignment="1">
      <alignment horizontal="center" vertical="center"/>
    </xf>
    <xf numFmtId="165" fontId="30" fillId="0" borderId="41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 wrapText="1"/>
    </xf>
    <xf numFmtId="165" fontId="30" fillId="0" borderId="8" xfId="3" applyFont="1" applyBorder="1" applyAlignment="1">
      <alignment horizontal="center" vertical="center" wrapText="1"/>
    </xf>
    <xf numFmtId="165" fontId="30" fillId="0" borderId="11" xfId="3" applyFont="1" applyBorder="1" applyAlignment="1">
      <alignment horizontal="center" vertical="center" wrapText="1"/>
    </xf>
    <xf numFmtId="165" fontId="30" fillId="0" borderId="9" xfId="3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10" fontId="24" fillId="0" borderId="45" xfId="0" applyNumberFormat="1" applyFont="1" applyBorder="1" applyAlignment="1">
      <alignment horizontal="left" vertical="center" wrapText="1"/>
    </xf>
    <xf numFmtId="167" fontId="22" fillId="11" borderId="21" xfId="0" applyNumberFormat="1" applyFont="1" applyFill="1" applyBorder="1" applyAlignment="1" applyProtection="1">
      <alignment horizontal="right" vertical="center"/>
      <protection locked="0"/>
    </xf>
    <xf numFmtId="167" fontId="22" fillId="11" borderId="8" xfId="0" applyNumberFormat="1" applyFont="1" applyFill="1" applyBorder="1" applyAlignment="1" applyProtection="1">
      <alignment horizontal="right" vertical="center"/>
      <protection locked="0"/>
    </xf>
    <xf numFmtId="167" fontId="22" fillId="11" borderId="45" xfId="0" applyNumberFormat="1" applyFont="1" applyFill="1" applyBorder="1" applyAlignment="1" applyProtection="1">
      <alignment horizontal="right" vertical="center"/>
      <protection locked="0"/>
    </xf>
    <xf numFmtId="167" fontId="22" fillId="11" borderId="50" xfId="0" applyNumberFormat="1" applyFont="1" applyFill="1" applyBorder="1" applyAlignment="1" applyProtection="1">
      <alignment horizontal="right" vertical="center"/>
      <protection locked="0"/>
    </xf>
    <xf numFmtId="167" fontId="22" fillId="11" borderId="48" xfId="0" applyNumberFormat="1" applyFont="1" applyFill="1" applyBorder="1" applyAlignment="1" applyProtection="1">
      <alignment horizontal="right" vertical="center"/>
      <protection locked="0"/>
    </xf>
    <xf numFmtId="167" fontId="24" fillId="0" borderId="45" xfId="0" applyNumberFormat="1" applyFont="1" applyFill="1" applyBorder="1" applyAlignment="1">
      <alignment horizontal="right" vertical="center"/>
    </xf>
    <xf numFmtId="167" fontId="24" fillId="0" borderId="50" xfId="0" applyNumberFormat="1" applyFont="1" applyFill="1" applyBorder="1" applyAlignment="1">
      <alignment horizontal="right" vertical="center"/>
    </xf>
    <xf numFmtId="167" fontId="24" fillId="0" borderId="48" xfId="0" applyNumberFormat="1" applyFont="1" applyFill="1" applyBorder="1" applyAlignment="1">
      <alignment horizontal="right" vertical="center"/>
    </xf>
    <xf numFmtId="167" fontId="4" fillId="0" borderId="0" xfId="3" applyNumberFormat="1" applyFont="1" applyAlignment="1">
      <alignment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 vertical="center"/>
    </xf>
    <xf numFmtId="170" fontId="30" fillId="0" borderId="12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170" fontId="31" fillId="0" borderId="8" xfId="3" applyNumberFormat="1" applyFont="1" applyBorder="1" applyAlignment="1">
      <alignment horizontal="right" vertical="center"/>
    </xf>
    <xf numFmtId="170" fontId="31" fillId="0" borderId="11" xfId="3" applyNumberFormat="1" applyFont="1" applyBorder="1" applyAlignment="1">
      <alignment horizontal="right" vertical="center"/>
    </xf>
    <xf numFmtId="170" fontId="30" fillId="0" borderId="4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0" fontId="0" fillId="0" borderId="0" xfId="0" applyFont="1" applyFill="1"/>
    <xf numFmtId="167" fontId="22" fillId="6" borderId="2" xfId="0" applyNumberFormat="1" applyFont="1" applyFill="1" applyBorder="1" applyProtection="1">
      <protection locked="0"/>
    </xf>
    <xf numFmtId="167" fontId="22" fillId="6" borderId="28" xfId="0" applyNumberFormat="1" applyFont="1" applyFill="1" applyBorder="1" applyProtection="1">
      <protection locked="0"/>
    </xf>
    <xf numFmtId="167" fontId="22" fillId="6" borderId="65" xfId="0" applyNumberFormat="1" applyFont="1" applyFill="1" applyBorder="1" applyProtection="1">
      <protection locked="0"/>
    </xf>
    <xf numFmtId="167" fontId="22" fillId="6" borderId="46" xfId="0" applyNumberFormat="1" applyFont="1" applyFill="1" applyBorder="1" applyProtection="1">
      <protection locked="0"/>
    </xf>
    <xf numFmtId="167" fontId="22" fillId="11" borderId="11" xfId="0" applyNumberFormat="1" applyFont="1" applyFill="1" applyBorder="1" applyAlignment="1" applyProtection="1">
      <alignment horizontal="right" vertical="center"/>
      <protection locked="0"/>
    </xf>
    <xf numFmtId="167" fontId="22" fillId="11" borderId="29" xfId="0" applyNumberFormat="1" applyFont="1" applyFill="1" applyBorder="1" applyAlignment="1" applyProtection="1">
      <alignment horizontal="right"/>
      <protection locked="0" hidden="1"/>
    </xf>
    <xf numFmtId="167" fontId="22" fillId="11" borderId="32" xfId="0" applyNumberFormat="1" applyFont="1" applyFill="1" applyBorder="1" applyAlignment="1" applyProtection="1">
      <alignment horizontal="right"/>
      <protection locked="0" hidden="1"/>
    </xf>
    <xf numFmtId="167" fontId="22" fillId="11" borderId="30" xfId="0" applyNumberFormat="1" applyFont="1" applyFill="1" applyBorder="1" applyAlignment="1" applyProtection="1">
      <alignment horizontal="right"/>
      <protection locked="0" hidden="1"/>
    </xf>
    <xf numFmtId="167" fontId="22" fillId="11" borderId="35" xfId="0" applyNumberFormat="1" applyFont="1" applyFill="1" applyBorder="1" applyAlignment="1" applyProtection="1">
      <alignment horizontal="right"/>
      <protection locked="0" hidden="1"/>
    </xf>
    <xf numFmtId="167" fontId="22" fillId="11" borderId="45" xfId="0" applyNumberFormat="1" applyFont="1" applyFill="1" applyBorder="1" applyAlignment="1" applyProtection="1">
      <alignment horizontal="right"/>
      <protection locked="0" hidden="1"/>
    </xf>
    <xf numFmtId="167" fontId="22" fillId="11" borderId="50" xfId="0" applyNumberFormat="1" applyFont="1" applyFill="1" applyBorder="1" applyAlignment="1" applyProtection="1">
      <alignment horizontal="right"/>
      <protection locked="0" hidden="1"/>
    </xf>
    <xf numFmtId="167" fontId="22" fillId="11" borderId="48" xfId="0" applyNumberFormat="1" applyFont="1" applyFill="1" applyBorder="1" applyAlignment="1" applyProtection="1">
      <alignment horizontal="right"/>
      <protection locked="0" hidden="1"/>
    </xf>
    <xf numFmtId="0" fontId="24" fillId="0" borderId="2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left" vertical="center" indent="1"/>
    </xf>
    <xf numFmtId="0" fontId="24" fillId="15" borderId="31" xfId="0" applyFont="1" applyFill="1" applyBorder="1" applyAlignment="1">
      <alignment horizontal="center" vertical="center"/>
    </xf>
    <xf numFmtId="164" fontId="24" fillId="5" borderId="24" xfId="0" applyNumberFormat="1" applyFont="1" applyFill="1" applyBorder="1" applyAlignment="1">
      <alignment horizontal="right" vertical="center"/>
    </xf>
    <xf numFmtId="164" fontId="24" fillId="5" borderId="30" xfId="0" applyNumberFormat="1" applyFont="1" applyFill="1" applyBorder="1" applyAlignment="1">
      <alignment horizontal="right" vertical="center"/>
    </xf>
    <xf numFmtId="164" fontId="24" fillId="5" borderId="32" xfId="0" applyNumberFormat="1" applyFont="1" applyFill="1" applyBorder="1" applyAlignment="1">
      <alignment horizontal="right" vertical="center"/>
    </xf>
    <xf numFmtId="164" fontId="25" fillId="5" borderId="19" xfId="0" applyNumberFormat="1" applyFont="1" applyFill="1" applyBorder="1" applyAlignment="1">
      <alignment horizontal="right" vertical="center"/>
    </xf>
    <xf numFmtId="0" fontId="24" fillId="5" borderId="40" xfId="0" applyFont="1" applyFill="1" applyBorder="1" applyAlignment="1">
      <alignment horizontal="left" vertical="center" indent="1"/>
    </xf>
    <xf numFmtId="0" fontId="24" fillId="15" borderId="13" xfId="0" applyFont="1" applyFill="1" applyBorder="1" applyAlignment="1">
      <alignment horizontal="center" vertical="center"/>
    </xf>
    <xf numFmtId="164" fontId="24" fillId="5" borderId="6" xfId="0" applyNumberFormat="1" applyFont="1" applyFill="1" applyBorder="1" applyAlignment="1">
      <alignment horizontal="right" vertical="center"/>
    </xf>
    <xf numFmtId="164" fontId="25" fillId="5" borderId="7" xfId="0" applyNumberFormat="1" applyFont="1" applyFill="1" applyBorder="1" applyAlignment="1">
      <alignment horizontal="right" vertical="center"/>
    </xf>
    <xf numFmtId="164" fontId="24" fillId="5" borderId="49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wrapText="1" indent="2"/>
    </xf>
    <xf numFmtId="0" fontId="24" fillId="0" borderId="13" xfId="0" applyFont="1" applyBorder="1" applyAlignment="1">
      <alignment horizontal="center" vertical="center"/>
    </xf>
    <xf numFmtId="164" fontId="24" fillId="0" borderId="6" xfId="0" applyNumberFormat="1" applyFont="1" applyBorder="1" applyAlignment="1">
      <alignment horizontal="right" vertical="center"/>
    </xf>
    <xf numFmtId="164" fontId="24" fillId="0" borderId="7" xfId="0" applyNumberFormat="1" applyFont="1" applyBorder="1" applyAlignment="1">
      <alignment horizontal="right" vertical="center"/>
    </xf>
    <xf numFmtId="164" fontId="24" fillId="0" borderId="49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24" fillId="0" borderId="5" xfId="0" applyNumberFormat="1" applyFont="1" applyBorder="1" applyAlignment="1">
      <alignment horizontal="right" vertical="center"/>
    </xf>
    <xf numFmtId="164" fontId="24" fillId="6" borderId="6" xfId="0" applyNumberFormat="1" applyFont="1" applyFill="1" applyBorder="1" applyAlignment="1" applyProtection="1">
      <alignment horizontal="right" vertical="center"/>
      <protection locked="0"/>
    </xf>
    <xf numFmtId="164" fontId="24" fillId="11" borderId="6" xfId="0" applyNumberFormat="1" applyFont="1" applyFill="1" applyBorder="1" applyAlignment="1" applyProtection="1">
      <alignment horizontal="right" vertical="center"/>
      <protection locked="0"/>
    </xf>
    <xf numFmtId="164" fontId="24" fillId="5" borderId="1" xfId="0" applyNumberFormat="1" applyFont="1" applyFill="1" applyBorder="1" applyAlignment="1">
      <alignment horizontal="right" vertical="center"/>
    </xf>
    <xf numFmtId="164" fontId="24" fillId="5" borderId="5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indent="2"/>
    </xf>
    <xf numFmtId="0" fontId="24" fillId="13" borderId="40" xfId="0" applyFont="1" applyFill="1" applyBorder="1" applyAlignment="1">
      <alignment horizontal="left" vertical="center"/>
    </xf>
    <xf numFmtId="164" fontId="24" fillId="13" borderId="13" xfId="0" applyNumberFormat="1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right" vertical="center"/>
    </xf>
    <xf numFmtId="164" fontId="24" fillId="13" borderId="1" xfId="0" applyNumberFormat="1" applyFont="1" applyFill="1" applyBorder="1" applyAlignment="1">
      <alignment horizontal="right" vertical="center"/>
    </xf>
    <xf numFmtId="164" fontId="24" fillId="13" borderId="5" xfId="0" applyNumberFormat="1" applyFont="1" applyFill="1" applyBorder="1" applyAlignment="1">
      <alignment horizontal="right" vertical="center"/>
    </xf>
    <xf numFmtId="164" fontId="25" fillId="13" borderId="7" xfId="0" applyNumberFormat="1" applyFont="1" applyFill="1" applyBorder="1" applyAlignment="1">
      <alignment horizontal="right" vertical="center"/>
    </xf>
    <xf numFmtId="16" fontId="24" fillId="5" borderId="40" xfId="0" applyNumberFormat="1" applyFont="1" applyFill="1" applyBorder="1" applyAlignment="1">
      <alignment horizontal="left" vertical="center" indent="1"/>
    </xf>
    <xf numFmtId="164" fontId="24" fillId="5" borderId="13" xfId="0" applyNumberFormat="1" applyFont="1" applyFill="1" applyBorder="1" applyAlignment="1">
      <alignment horizontal="center" vertical="center"/>
    </xf>
    <xf numFmtId="164" fontId="24" fillId="11" borderId="1" xfId="0" applyNumberFormat="1" applyFont="1" applyFill="1" applyBorder="1" applyAlignment="1" applyProtection="1">
      <alignment horizontal="right" vertical="center"/>
      <protection locked="0"/>
    </xf>
    <xf numFmtId="164" fontId="24" fillId="5" borderId="40" xfId="0" applyNumberFormat="1" applyFont="1" applyFill="1" applyBorder="1" applyAlignment="1">
      <alignment horizontal="left" vertical="center" indent="1"/>
    </xf>
    <xf numFmtId="0" fontId="24" fillId="5" borderId="13" xfId="0" applyFont="1" applyFill="1" applyBorder="1" applyAlignment="1">
      <alignment horizontal="center" vertical="center"/>
    </xf>
    <xf numFmtId="164" fontId="24" fillId="4" borderId="6" xfId="0" applyNumberFormat="1" applyFont="1" applyFill="1" applyBorder="1" applyAlignment="1">
      <alignment horizontal="right" vertical="center"/>
    </xf>
    <xf numFmtId="164" fontId="24" fillId="4" borderId="1" xfId="0" applyNumberFormat="1" applyFont="1" applyFill="1" applyBorder="1" applyAlignment="1">
      <alignment horizontal="right" vertical="center"/>
    </xf>
    <xf numFmtId="164" fontId="24" fillId="4" borderId="5" xfId="0" applyNumberFormat="1" applyFont="1" applyFill="1" applyBorder="1" applyAlignment="1">
      <alignment horizontal="right" vertical="center"/>
    </xf>
    <xf numFmtId="164" fontId="34" fillId="4" borderId="6" xfId="0" applyNumberFormat="1" applyFont="1" applyFill="1" applyBorder="1" applyAlignment="1">
      <alignment horizontal="right" vertical="center"/>
    </xf>
    <xf numFmtId="164" fontId="24" fillId="13" borderId="49" xfId="0" applyNumberFormat="1" applyFont="1" applyFill="1" applyBorder="1" applyAlignment="1">
      <alignment horizontal="right" vertical="center"/>
    </xf>
    <xf numFmtId="0" fontId="24" fillId="13" borderId="43" xfId="0" applyFont="1" applyFill="1" applyBorder="1" applyAlignment="1">
      <alignment horizontal="left" vertical="center"/>
    </xf>
    <xf numFmtId="164" fontId="24" fillId="13" borderId="15" xfId="0" applyNumberFormat="1" applyFont="1" applyFill="1" applyBorder="1" applyAlignment="1">
      <alignment horizontal="center" vertical="center"/>
    </xf>
    <xf numFmtId="164" fontId="24" fillId="13" borderId="25" xfId="0" applyNumberFormat="1" applyFont="1" applyFill="1" applyBorder="1" applyAlignment="1">
      <alignment horizontal="right" vertical="center"/>
    </xf>
    <xf numFmtId="164" fontId="24" fillId="13" borderId="14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right" vertical="center"/>
    </xf>
    <xf numFmtId="164" fontId="25" fillId="13" borderId="23" xfId="0" applyNumberFormat="1" applyFont="1" applyFill="1" applyBorder="1" applyAlignment="1">
      <alignment horizontal="right" vertical="center"/>
    </xf>
    <xf numFmtId="164" fontId="25" fillId="13" borderId="18" xfId="0" applyNumberFormat="1" applyFont="1" applyFill="1" applyBorder="1" applyAlignment="1">
      <alignment horizontal="right" vertical="center"/>
    </xf>
    <xf numFmtId="168" fontId="1" fillId="8" borderId="1" xfId="0" applyNumberFormat="1" applyFont="1" applyFill="1" applyBorder="1" applyAlignment="1">
      <alignment horizontal="center"/>
    </xf>
    <xf numFmtId="0" fontId="24" fillId="8" borderId="42" xfId="0" applyFont="1" applyFill="1" applyBorder="1" applyAlignment="1">
      <alignment horizontal="left" vertical="center"/>
    </xf>
    <xf numFmtId="0" fontId="24" fillId="8" borderId="31" xfId="0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right"/>
    </xf>
    <xf numFmtId="167" fontId="24" fillId="11" borderId="37" xfId="0" applyNumberFormat="1" applyFont="1" applyFill="1" applyBorder="1" applyAlignment="1" applyProtection="1">
      <alignment horizontal="right" vertical="center"/>
      <protection locked="0"/>
    </xf>
    <xf numFmtId="164" fontId="24" fillId="0" borderId="38" xfId="0" applyNumberFormat="1" applyFont="1" applyBorder="1" applyAlignment="1">
      <alignment horizontal="right" vertical="center"/>
    </xf>
    <xf numFmtId="164" fontId="24" fillId="0" borderId="39" xfId="0" applyNumberFormat="1" applyFont="1" applyBorder="1" applyAlignment="1">
      <alignment horizontal="right" vertical="center"/>
    </xf>
    <xf numFmtId="164" fontId="25" fillId="0" borderId="19" xfId="0" applyNumberFormat="1" applyFont="1" applyBorder="1" applyAlignment="1">
      <alignment horizontal="right" vertical="center"/>
    </xf>
    <xf numFmtId="167" fontId="24" fillId="7" borderId="37" xfId="0" applyNumberFormat="1" applyFont="1" applyFill="1" applyBorder="1" applyAlignment="1">
      <alignment horizontal="right" vertical="center"/>
    </xf>
    <xf numFmtId="167" fontId="24" fillId="7" borderId="38" xfId="0" applyNumberFormat="1" applyFont="1" applyFill="1" applyBorder="1" applyAlignment="1">
      <alignment horizontal="right" vertical="center"/>
    </xf>
    <xf numFmtId="167" fontId="24" fillId="7" borderId="39" xfId="0" applyNumberFormat="1" applyFont="1" applyFill="1" applyBorder="1" applyAlignment="1">
      <alignment horizontal="right" vertical="center"/>
    </xf>
    <xf numFmtId="167" fontId="24" fillId="7" borderId="29" xfId="0" applyNumberFormat="1" applyFont="1" applyFill="1" applyBorder="1" applyAlignment="1">
      <alignment horizontal="right" vertical="center"/>
    </xf>
    <xf numFmtId="167" fontId="24" fillId="7" borderId="24" xfId="0" applyNumberFormat="1" applyFont="1" applyFill="1" applyBorder="1" applyAlignment="1">
      <alignment horizontal="right" vertical="center"/>
    </xf>
    <xf numFmtId="167" fontId="24" fillId="7" borderId="35" xfId="0" applyNumberFormat="1" applyFont="1" applyFill="1" applyBorder="1" applyAlignment="1">
      <alignment horizontal="right" vertical="center"/>
    </xf>
    <xf numFmtId="0" fontId="24" fillId="8" borderId="40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right"/>
    </xf>
    <xf numFmtId="167" fontId="24" fillId="11" borderId="16" xfId="0" applyNumberFormat="1" applyFont="1" applyFill="1" applyBorder="1" applyAlignment="1" applyProtection="1">
      <alignment horizontal="right" vertical="center"/>
      <protection locked="0"/>
    </xf>
    <xf numFmtId="167" fontId="24" fillId="11" borderId="1" xfId="0" applyNumberFormat="1" applyFont="1" applyFill="1" applyBorder="1" applyAlignment="1" applyProtection="1">
      <alignment horizontal="right" vertical="center"/>
      <protection locked="0"/>
    </xf>
    <xf numFmtId="167" fontId="24" fillId="11" borderId="13" xfId="0" applyNumberFormat="1" applyFont="1" applyFill="1" applyBorder="1" applyAlignment="1" applyProtection="1">
      <alignment horizontal="right" vertical="center"/>
      <protection locked="0"/>
    </xf>
    <xf numFmtId="164" fontId="25" fillId="0" borderId="7" xfId="0" applyNumberFormat="1" applyFont="1" applyBorder="1" applyAlignment="1">
      <alignment horizontal="right" vertical="center"/>
    </xf>
    <xf numFmtId="167" fontId="24" fillId="7" borderId="16" xfId="0" applyNumberFormat="1" applyFont="1" applyFill="1" applyBorder="1" applyAlignment="1">
      <alignment horizontal="right" vertical="center"/>
    </xf>
    <xf numFmtId="167" fontId="24" fillId="7" borderId="6" xfId="0" applyNumberFormat="1" applyFont="1" applyFill="1" applyBorder="1" applyAlignment="1">
      <alignment horizontal="right" vertical="center"/>
    </xf>
    <xf numFmtId="167" fontId="24" fillId="7" borderId="36" xfId="0" applyNumberFormat="1" applyFont="1" applyFill="1" applyBorder="1" applyAlignment="1">
      <alignment horizontal="right" vertical="center"/>
    </xf>
    <xf numFmtId="167" fontId="24" fillId="11" borderId="40" xfId="0" applyNumberFormat="1" applyFont="1" applyFill="1" applyBorder="1" applyAlignment="1" applyProtection="1">
      <alignment horizontal="right" vertical="center"/>
      <protection locked="0"/>
    </xf>
    <xf numFmtId="0" fontId="24" fillId="8" borderId="43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right"/>
    </xf>
    <xf numFmtId="167" fontId="24" fillId="11" borderId="17" xfId="0" applyNumberFormat="1" applyFont="1" applyFill="1" applyBorder="1" applyAlignment="1" applyProtection="1">
      <alignment horizontal="right" vertical="center"/>
      <protection locked="0"/>
    </xf>
    <xf numFmtId="167" fontId="24" fillId="11" borderId="14" xfId="0" applyNumberFormat="1" applyFont="1" applyFill="1" applyBorder="1" applyAlignment="1" applyProtection="1">
      <alignment horizontal="right" vertical="center"/>
      <protection locked="0"/>
    </xf>
    <xf numFmtId="167" fontId="24" fillId="11" borderId="15" xfId="0" applyNumberFormat="1" applyFont="1" applyFill="1" applyBorder="1" applyAlignment="1" applyProtection="1">
      <alignment horizontal="right" vertical="center"/>
      <protection locked="0"/>
    </xf>
    <xf numFmtId="164" fontId="25" fillId="0" borderId="23" xfId="0" applyNumberFormat="1" applyFont="1" applyBorder="1" applyAlignment="1">
      <alignment horizontal="right" vertical="center"/>
    </xf>
    <xf numFmtId="164" fontId="25" fillId="0" borderId="18" xfId="0" applyNumberFormat="1" applyFont="1" applyBorder="1" applyAlignment="1">
      <alignment horizontal="right" vertical="center"/>
    </xf>
    <xf numFmtId="14" fontId="0" fillId="0" borderId="0" xfId="0" applyNumberFormat="1"/>
    <xf numFmtId="166" fontId="4" fillId="0" borderId="25" xfId="0" applyNumberFormat="1" applyFont="1" applyBorder="1" applyAlignment="1" applyProtection="1">
      <alignment horizontal="center" vertical="center" wrapText="1"/>
      <protection hidden="1"/>
    </xf>
    <xf numFmtId="166" fontId="4" fillId="0" borderId="14" xfId="0" applyNumberFormat="1" applyFont="1" applyBorder="1" applyAlignment="1" applyProtection="1">
      <alignment horizontal="center" vertical="center" wrapText="1"/>
      <protection hidden="1"/>
    </xf>
    <xf numFmtId="166" fontId="4" fillId="0" borderId="26" xfId="0" applyNumberFormat="1" applyFont="1" applyBorder="1" applyAlignment="1" applyProtection="1">
      <alignment horizontal="center" vertical="center" wrapText="1"/>
      <protection hidden="1"/>
    </xf>
    <xf numFmtId="164" fontId="2" fillId="0" borderId="12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2" fillId="0" borderId="41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10" fontId="25" fillId="0" borderId="21" xfId="0" applyNumberFormat="1" applyFont="1" applyBorder="1" applyAlignment="1" applyProtection="1">
      <alignment horizontal="center" vertical="center" wrapText="1"/>
      <protection hidden="1"/>
    </xf>
    <xf numFmtId="10" fontId="25" fillId="0" borderId="8" xfId="0" applyNumberFormat="1" applyFont="1" applyBorder="1" applyAlignment="1" applyProtection="1">
      <alignment horizontal="center" vertical="center" wrapText="1"/>
      <protection hidden="1"/>
    </xf>
    <xf numFmtId="10" fontId="25" fillId="0" borderId="9" xfId="0" applyNumberFormat="1" applyFont="1" applyBorder="1" applyAlignment="1" applyProtection="1">
      <alignment horizontal="center" vertical="center" wrapText="1"/>
      <protection hidden="1"/>
    </xf>
    <xf numFmtId="10" fontId="25" fillId="0" borderId="10" xfId="0" applyNumberFormat="1" applyFont="1" applyBorder="1" applyAlignment="1" applyProtection="1">
      <alignment horizontal="center" vertical="center" wrapText="1"/>
      <protection hidden="1"/>
    </xf>
    <xf numFmtId="166" fontId="1" fillId="9" borderId="17" xfId="0" applyNumberFormat="1" applyFont="1" applyFill="1" applyBorder="1" applyAlignment="1" applyProtection="1">
      <alignment horizontal="center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/>
      <protection hidden="1"/>
    </xf>
    <xf numFmtId="166" fontId="1" fillId="9" borderId="15" xfId="0" applyNumberFormat="1" applyFont="1" applyFill="1" applyBorder="1" applyAlignment="1" applyProtection="1">
      <alignment horizontal="center" vertical="center"/>
      <protection hidden="1"/>
    </xf>
    <xf numFmtId="0" fontId="14" fillId="0" borderId="0" xfId="4"/>
    <xf numFmtId="0" fontId="36" fillId="0" borderId="0" xfId="4" applyNumberFormat="1" applyFont="1" applyBorder="1" applyAlignment="1">
      <alignment horizontal="left" wrapText="1"/>
    </xf>
    <xf numFmtId="0" fontId="25" fillId="0" borderId="41" xfId="4" applyNumberFormat="1" applyFont="1" applyBorder="1" applyAlignment="1" applyProtection="1">
      <alignment horizontal="center" vertical="center" wrapText="1"/>
      <protection hidden="1"/>
    </xf>
    <xf numFmtId="0" fontId="25" fillId="0" borderId="12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7" fillId="0" borderId="0" xfId="0" applyFont="1" applyProtection="1">
      <protection hidden="1"/>
    </xf>
    <xf numFmtId="164" fontId="24" fillId="5" borderId="16" xfId="4" applyNumberFormat="1" applyFont="1" applyFill="1" applyBorder="1" applyAlignment="1">
      <alignment horizontal="left" vertical="center"/>
    </xf>
    <xf numFmtId="164" fontId="24" fillId="5" borderId="1" xfId="4" applyNumberFormat="1" applyFont="1" applyFill="1" applyBorder="1" applyAlignment="1">
      <alignment horizontal="left" vertical="center"/>
    </xf>
    <xf numFmtId="164" fontId="24" fillId="13" borderId="1" xfId="4" applyNumberFormat="1" applyFont="1" applyFill="1" applyBorder="1" applyAlignment="1">
      <alignment horizontal="left" vertical="center"/>
    </xf>
    <xf numFmtId="49" fontId="24" fillId="13" borderId="13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17" xfId="4" applyNumberFormat="1" applyFont="1" applyFill="1" applyBorder="1" applyAlignment="1">
      <alignment horizontal="left" vertical="center"/>
    </xf>
    <xf numFmtId="164" fontId="24" fillId="5" borderId="14" xfId="4" applyNumberFormat="1" applyFont="1" applyFill="1" applyBorder="1" applyAlignment="1">
      <alignment horizontal="left" vertical="center"/>
    </xf>
    <xf numFmtId="49" fontId="24" fillId="5" borderId="15" xfId="4" applyNumberFormat="1" applyFont="1" applyFill="1" applyBorder="1" applyAlignment="1" applyProtection="1">
      <alignment horizontal="left" vertical="center" wrapText="1"/>
      <protection locked="0"/>
    </xf>
    <xf numFmtId="0" fontId="22" fillId="13" borderId="16" xfId="0" applyFont="1" applyFill="1" applyBorder="1" applyAlignment="1">
      <alignment horizontal="left" wrapText="1" indent="2"/>
    </xf>
    <xf numFmtId="0" fontId="22" fillId="13" borderId="37" xfId="0" applyFont="1" applyFill="1" applyBorder="1" applyAlignment="1">
      <alignment horizontal="left" wrapText="1" indent="2"/>
    </xf>
    <xf numFmtId="164" fontId="24" fillId="13" borderId="38" xfId="4" applyNumberFormat="1" applyFont="1" applyFill="1" applyBorder="1" applyAlignment="1">
      <alignment horizontal="left" vertical="center"/>
    </xf>
    <xf numFmtId="49" fontId="24" fillId="13" borderId="39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56" xfId="4" applyNumberFormat="1" applyFont="1" applyFill="1" applyBorder="1" applyAlignment="1">
      <alignment horizontal="left" vertical="center"/>
    </xf>
    <xf numFmtId="164" fontId="24" fillId="5" borderId="71" xfId="4" applyNumberFormat="1" applyFont="1" applyFill="1" applyBorder="1" applyAlignment="1">
      <alignment horizontal="left" vertical="center"/>
    </xf>
    <xf numFmtId="164" fontId="24" fillId="5" borderId="57" xfId="4" applyNumberFormat="1" applyFont="1" applyFill="1" applyBorder="1" applyAlignment="1" applyProtection="1">
      <alignment horizontal="left" vertical="center"/>
      <protection locked="0"/>
    </xf>
    <xf numFmtId="164" fontId="24" fillId="5" borderId="13" xfId="4" applyNumberFormat="1" applyFont="1" applyFill="1" applyBorder="1" applyAlignment="1" applyProtection="1">
      <alignment horizontal="left" vertical="center"/>
      <protection locked="0"/>
    </xf>
    <xf numFmtId="164" fontId="24" fillId="16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51" xfId="0" applyFont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horizontal="center" vertical="center"/>
      <protection hidden="1"/>
    </xf>
    <xf numFmtId="164" fontId="25" fillId="0" borderId="37" xfId="0" applyNumberFormat="1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horizontal="center" vertical="center"/>
      <protection hidden="1"/>
    </xf>
    <xf numFmtId="0" fontId="25" fillId="0" borderId="5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25" fillId="0" borderId="60" xfId="0" applyNumberFormat="1" applyFont="1" applyBorder="1" applyAlignment="1" applyProtection="1">
      <alignment horizontal="center" vertical="center"/>
      <protection hidden="1"/>
    </xf>
    <xf numFmtId="164" fontId="25" fillId="0" borderId="23" xfId="0" applyNumberFormat="1" applyFont="1" applyBorder="1" applyAlignment="1" applyProtection="1">
      <alignment horizontal="center" vertical="center"/>
      <protection hidden="1"/>
    </xf>
    <xf numFmtId="0" fontId="2" fillId="9" borderId="56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2" fillId="8" borderId="52" xfId="0" applyFont="1" applyFill="1" applyBorder="1" applyAlignment="1" applyProtection="1">
      <alignment horizontal="center" vertical="center"/>
      <protection hidden="1"/>
    </xf>
    <xf numFmtId="0" fontId="2" fillId="8" borderId="53" xfId="0" applyFont="1" applyFill="1" applyBorder="1" applyAlignment="1" applyProtection="1">
      <alignment horizontal="center" vertical="center"/>
      <protection hidden="1"/>
    </xf>
    <xf numFmtId="0" fontId="2" fillId="8" borderId="55" xfId="0" applyFont="1" applyFill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2" fillId="0" borderId="5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0" borderId="58" xfId="0" applyNumberFormat="1" applyFont="1" applyBorder="1" applyAlignment="1" applyProtection="1">
      <alignment horizontal="center" vertical="center" wrapText="1"/>
      <protection hidden="1"/>
    </xf>
    <xf numFmtId="0" fontId="13" fillId="0" borderId="38" xfId="0" applyNumberFormat="1" applyFont="1" applyBorder="1" applyAlignment="1" applyProtection="1">
      <alignment horizontal="center" vertical="center" wrapText="1"/>
      <protection hidden="1"/>
    </xf>
    <xf numFmtId="0" fontId="13" fillId="0" borderId="59" xfId="0" applyNumberFormat="1" applyFont="1" applyBorder="1" applyAlignment="1" applyProtection="1">
      <alignment horizontal="center" vertical="center" wrapText="1"/>
      <protection hidden="1"/>
    </xf>
    <xf numFmtId="0" fontId="35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2009" name="shapetype_202" hidden="1">
          <a:extLst>
            <a:ext uri="{FF2B5EF4-FFF2-40B4-BE49-F238E27FC236}">
              <a16:creationId xmlns="" xmlns:a16="http://schemas.microsoft.com/office/drawing/2014/main" id="{2804BD49-93A1-44A8-9B7B-B2FB07C617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44"/>
  <sheetViews>
    <sheetView showGridLines="0" topLeftCell="A34" zoomScaleNormal="100" workbookViewId="0">
      <pane xSplit="2" topLeftCell="C1" activePane="topRight" state="frozen"/>
      <selection pane="topRight" activeCell="I56" sqref="I56"/>
    </sheetView>
  </sheetViews>
  <sheetFormatPr defaultColWidth="8.5703125" defaultRowHeight="15" x14ac:dyDescent="0.25"/>
  <cols>
    <col min="1" max="1" width="48.140625" customWidth="1"/>
    <col min="2" max="2" width="16.140625" style="19" customWidth="1"/>
    <col min="3" max="37" width="13.140625" customWidth="1"/>
    <col min="38" max="39" width="10.85546875" customWidth="1"/>
    <col min="40" max="40" width="11.140625" customWidth="1"/>
    <col min="41" max="41" width="10.85546875" customWidth="1"/>
    <col min="42" max="42" width="10.42578125" customWidth="1"/>
    <col min="43" max="43" width="8.85546875" customWidth="1"/>
    <col min="44" max="44" width="10.140625" customWidth="1"/>
    <col min="45" max="45" width="8.5703125" customWidth="1"/>
    <col min="46" max="46" width="8.85546875" customWidth="1"/>
    <col min="47" max="49" width="8.5703125" customWidth="1"/>
    <col min="50" max="52" width="8.85546875" customWidth="1"/>
  </cols>
  <sheetData>
    <row r="1" spans="1:52" x14ac:dyDescent="0.25">
      <c r="A1" s="16"/>
      <c r="B1" s="22" t="s">
        <v>10</v>
      </c>
      <c r="C1" s="20"/>
      <c r="D1" s="20"/>
      <c r="E1" s="20"/>
      <c r="F1" s="20"/>
      <c r="G1" s="5"/>
      <c r="H1" s="5"/>
      <c r="I1" s="4"/>
      <c r="J1" s="4"/>
      <c r="K1" s="32"/>
    </row>
    <row r="2" spans="1:52" ht="30" x14ac:dyDescent="0.25">
      <c r="A2" s="23" t="s">
        <v>11</v>
      </c>
      <c r="B2" s="39"/>
      <c r="C2" s="21"/>
      <c r="D2" s="4"/>
      <c r="E2" s="4"/>
      <c r="F2" s="4"/>
    </row>
    <row r="3" spans="1:52" ht="30" x14ac:dyDescent="0.25">
      <c r="A3" s="23" t="s">
        <v>12</v>
      </c>
      <c r="B3" s="6"/>
      <c r="C3" s="21"/>
      <c r="D3" s="21"/>
      <c r="E3" s="21"/>
      <c r="F3" s="21"/>
      <c r="G3" s="4"/>
      <c r="H3" s="4"/>
      <c r="I3" s="4"/>
    </row>
    <row r="4" spans="1:52" ht="30" x14ac:dyDescent="0.25">
      <c r="A4" s="23" t="s">
        <v>14</v>
      </c>
      <c r="B4" s="69"/>
      <c r="C4" s="21"/>
      <c r="D4" s="21"/>
      <c r="E4" s="21"/>
      <c r="F4" s="21"/>
      <c r="G4" s="4"/>
      <c r="H4" s="4"/>
      <c r="I4" s="4"/>
    </row>
    <row r="5" spans="1:52" x14ac:dyDescent="0.25">
      <c r="A5" s="37"/>
      <c r="B5" s="38"/>
      <c r="C5" s="21"/>
      <c r="D5" s="21"/>
      <c r="E5" s="21"/>
      <c r="F5" s="21"/>
      <c r="G5" s="4"/>
      <c r="H5" s="4"/>
      <c r="I5" s="4"/>
    </row>
    <row r="6" spans="1:52" x14ac:dyDescent="0.25">
      <c r="A6" s="128" t="s">
        <v>104</v>
      </c>
      <c r="B6" s="18"/>
      <c r="C6" s="4"/>
      <c r="D6" s="4"/>
      <c r="E6" s="4"/>
      <c r="F6" s="4"/>
      <c r="G6" s="4"/>
      <c r="H6" s="4"/>
      <c r="I6" s="4"/>
    </row>
    <row r="7" spans="1:52" x14ac:dyDescent="0.25">
      <c r="A7" s="127" t="s">
        <v>105</v>
      </c>
      <c r="B7" s="18"/>
      <c r="C7" s="4"/>
      <c r="D7" s="4"/>
      <c r="E7" s="4"/>
      <c r="F7" s="4"/>
      <c r="G7" s="4"/>
      <c r="H7" s="4"/>
      <c r="I7" s="4"/>
    </row>
    <row r="8" spans="1:52" ht="15.75" thickBot="1" x14ac:dyDescent="0.3">
      <c r="A8" s="127" t="s">
        <v>123</v>
      </c>
      <c r="B8" s="18"/>
      <c r="C8" s="4"/>
      <c r="D8" s="4"/>
      <c r="E8" s="4"/>
      <c r="F8" s="4"/>
      <c r="G8" s="4"/>
      <c r="H8" s="4"/>
      <c r="I8" s="4"/>
    </row>
    <row r="9" spans="1:52" ht="15.75" thickBot="1" x14ac:dyDescent="0.3">
      <c r="A9" s="42" t="s">
        <v>13</v>
      </c>
      <c r="B9" s="43" t="s">
        <v>36</v>
      </c>
      <c r="C9" s="393" t="str">
        <f>YEAR(Test_date)&amp;" год"</f>
        <v>2020 год</v>
      </c>
      <c r="D9" s="394" t="s">
        <v>0</v>
      </c>
      <c r="E9" s="395" t="s">
        <v>1</v>
      </c>
      <c r="F9" s="395" t="s">
        <v>2</v>
      </c>
      <c r="G9" s="396" t="s">
        <v>3</v>
      </c>
      <c r="H9" s="397" t="str">
        <f>(LEFT(C9,4)+1)&amp;" год"</f>
        <v>2021 год</v>
      </c>
      <c r="I9" s="394" t="s">
        <v>0</v>
      </c>
      <c r="J9" s="395" t="s">
        <v>1</v>
      </c>
      <c r="K9" s="395" t="s">
        <v>2</v>
      </c>
      <c r="L9" s="396" t="s">
        <v>3</v>
      </c>
      <c r="M9" s="397" t="str">
        <f>(LEFT(H9,4)+1)&amp;" год"</f>
        <v>2022 год</v>
      </c>
      <c r="N9" s="394" t="s">
        <v>0</v>
      </c>
      <c r="O9" s="395" t="s">
        <v>1</v>
      </c>
      <c r="P9" s="396" t="s">
        <v>2</v>
      </c>
      <c r="Q9" s="398" t="s">
        <v>3</v>
      </c>
    </row>
    <row r="10" spans="1:52" ht="15.75" thickBot="1" x14ac:dyDescent="0.3">
      <c r="A10" s="129" t="s">
        <v>112</v>
      </c>
      <c r="B10" s="130"/>
      <c r="C10" s="130"/>
      <c r="D10" s="131"/>
      <c r="E10" s="131"/>
      <c r="F10" s="131"/>
      <c r="G10" s="131"/>
      <c r="H10" s="130"/>
      <c r="I10" s="131"/>
      <c r="J10" s="131"/>
      <c r="K10" s="131"/>
      <c r="L10" s="131"/>
      <c r="M10" s="130"/>
      <c r="N10" s="131"/>
      <c r="O10" s="131"/>
      <c r="P10" s="131"/>
      <c r="Q10" s="132"/>
    </row>
    <row r="11" spans="1:52" ht="15.75" thickBot="1" x14ac:dyDescent="0.3">
      <c r="A11" s="133" t="s">
        <v>86</v>
      </c>
      <c r="B11" s="134" t="s">
        <v>101</v>
      </c>
      <c r="C11" s="135">
        <f>SUM(D11:G11)</f>
        <v>0</v>
      </c>
      <c r="D11" s="295"/>
      <c r="E11" s="295"/>
      <c r="F11" s="295"/>
      <c r="G11" s="295"/>
      <c r="H11" s="136">
        <f>SUM(I11:L11)</f>
        <v>0</v>
      </c>
      <c r="I11" s="296"/>
      <c r="J11" s="296"/>
      <c r="K11" s="296"/>
      <c r="L11" s="296"/>
      <c r="M11" s="136">
        <f>SUM(N11:Q11)</f>
        <v>0</v>
      </c>
      <c r="N11" s="295"/>
      <c r="O11" s="295"/>
      <c r="P11" s="295"/>
      <c r="Q11" s="297"/>
      <c r="AY11" t="s">
        <v>56</v>
      </c>
      <c r="AZ11">
        <v>60</v>
      </c>
    </row>
    <row r="12" spans="1:52" ht="15.75" thickBot="1" x14ac:dyDescent="0.3">
      <c r="A12" s="138" t="s">
        <v>111</v>
      </c>
      <c r="B12" s="130"/>
      <c r="C12" s="130"/>
      <c r="D12" s="190"/>
      <c r="E12" s="190"/>
      <c r="F12" s="190"/>
      <c r="G12" s="190"/>
      <c r="H12" s="130"/>
      <c r="I12" s="190"/>
      <c r="J12" s="190"/>
      <c r="K12" s="190"/>
      <c r="L12" s="190"/>
      <c r="M12" s="130"/>
      <c r="N12" s="190"/>
      <c r="O12" s="190"/>
      <c r="P12" s="190"/>
      <c r="Q12" s="191"/>
    </row>
    <row r="13" spans="1:52" ht="15.75" thickBot="1" x14ac:dyDescent="0.3">
      <c r="A13" s="137" t="s">
        <v>83</v>
      </c>
      <c r="B13" s="75" t="s">
        <v>101</v>
      </c>
      <c r="C13" s="109">
        <f>SUM(D13:G13)</f>
        <v>0</v>
      </c>
      <c r="D13" s="296"/>
      <c r="E13" s="296"/>
      <c r="F13" s="296"/>
      <c r="G13" s="296"/>
      <c r="H13" s="44">
        <f>SUM(I13:L13)</f>
        <v>0</v>
      </c>
      <c r="I13" s="296"/>
      <c r="J13" s="296"/>
      <c r="K13" s="296"/>
      <c r="L13" s="296"/>
      <c r="M13" s="44">
        <f>SUM(N13:Q13)</f>
        <v>0</v>
      </c>
      <c r="N13" s="296"/>
      <c r="O13" s="296"/>
      <c r="P13" s="296"/>
      <c r="Q13" s="298"/>
      <c r="AY13" t="s">
        <v>56</v>
      </c>
      <c r="AZ13">
        <v>59</v>
      </c>
    </row>
    <row r="14" spans="1:52" s="11" customFormat="1" x14ac:dyDescent="0.25">
      <c r="A14" s="24"/>
      <c r="B14" s="25"/>
      <c r="C14" s="26"/>
      <c r="D14" s="27"/>
      <c r="E14" s="27"/>
      <c r="F14" s="27"/>
      <c r="G14" s="27"/>
      <c r="H14" s="26"/>
      <c r="I14" s="27"/>
      <c r="J14" s="27"/>
      <c r="K14" s="27"/>
      <c r="L14" s="27"/>
      <c r="M14" s="26"/>
      <c r="N14" s="27"/>
      <c r="O14" s="27"/>
      <c r="P14" s="27"/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Z14"/>
    </row>
    <row r="15" spans="1:52" s="11" customFormat="1" x14ac:dyDescent="0.25">
      <c r="A15" s="128" t="s">
        <v>108</v>
      </c>
      <c r="B15" s="25"/>
      <c r="C15" s="26"/>
      <c r="D15" s="27"/>
      <c r="E15" s="27"/>
      <c r="F15" s="27"/>
      <c r="G15" s="27"/>
      <c r="H15" s="26"/>
      <c r="I15" s="27"/>
      <c r="J15" s="27"/>
      <c r="K15" s="27"/>
      <c r="L15" s="27"/>
      <c r="M15" s="26"/>
      <c r="N15" s="27"/>
      <c r="O15" s="27"/>
      <c r="P15" s="27"/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Z15"/>
    </row>
    <row r="16" spans="1:52" ht="15.75" thickBot="1" x14ac:dyDescent="0.3">
      <c r="A16" s="127" t="s">
        <v>54</v>
      </c>
      <c r="B16" s="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38" s="19" customFormat="1" ht="14.45" customHeight="1" x14ac:dyDescent="0.25">
      <c r="A17" s="441" t="s">
        <v>15</v>
      </c>
      <c r="B17" s="443" t="s">
        <v>36</v>
      </c>
      <c r="C17" s="445" t="str">
        <f>(YEAR(Test_date)-3)&amp;" год"</f>
        <v>2017 год</v>
      </c>
      <c r="D17" s="438" t="str">
        <f>C17</f>
        <v>2017 год</v>
      </c>
      <c r="E17" s="439"/>
      <c r="F17" s="439"/>
      <c r="G17" s="440"/>
      <c r="H17" s="436" t="str">
        <f>(LEFT(C17,4)+1)&amp;" год"</f>
        <v>2018 год</v>
      </c>
      <c r="I17" s="438" t="str">
        <f>H17</f>
        <v>2018 год</v>
      </c>
      <c r="J17" s="439"/>
      <c r="K17" s="439"/>
      <c r="L17" s="440"/>
      <c r="M17" s="436" t="str">
        <f>(LEFT(H17,4)+1)&amp;" год"</f>
        <v>2019 год</v>
      </c>
      <c r="N17" s="438" t="str">
        <f>M17</f>
        <v>2019 год</v>
      </c>
      <c r="O17" s="439"/>
      <c r="P17" s="439"/>
      <c r="Q17" s="440"/>
    </row>
    <row r="18" spans="1:38" s="19" customFormat="1" ht="15.75" thickBot="1" x14ac:dyDescent="0.3">
      <c r="A18" s="442"/>
      <c r="B18" s="444"/>
      <c r="C18" s="446"/>
      <c r="D18" s="399" t="s">
        <v>0</v>
      </c>
      <c r="E18" s="400" t="s">
        <v>1</v>
      </c>
      <c r="F18" s="400" t="s">
        <v>2</v>
      </c>
      <c r="G18" s="401" t="s">
        <v>3</v>
      </c>
      <c r="H18" s="437"/>
      <c r="I18" s="399" t="s">
        <v>0</v>
      </c>
      <c r="J18" s="400" t="s">
        <v>1</v>
      </c>
      <c r="K18" s="400" t="s">
        <v>2</v>
      </c>
      <c r="L18" s="401" t="s">
        <v>3</v>
      </c>
      <c r="M18" s="437"/>
      <c r="N18" s="399" t="s">
        <v>0</v>
      </c>
      <c r="O18" s="400" t="s">
        <v>1</v>
      </c>
      <c r="P18" s="400" t="s">
        <v>2</v>
      </c>
      <c r="Q18" s="401" t="s">
        <v>3</v>
      </c>
    </row>
    <row r="19" spans="1:38" x14ac:dyDescent="0.25">
      <c r="A19" s="357" t="s">
        <v>4</v>
      </c>
      <c r="B19" s="358" t="s">
        <v>101</v>
      </c>
      <c r="C19" s="359">
        <f>D19</f>
        <v>0.249</v>
      </c>
      <c r="D19" s="360">
        <v>0.249</v>
      </c>
      <c r="E19" s="361">
        <f>D28</f>
        <v>0.249</v>
      </c>
      <c r="F19" s="361">
        <f>E28</f>
        <v>0.246</v>
      </c>
      <c r="G19" s="362">
        <f>F28</f>
        <v>0.24199999999999999</v>
      </c>
      <c r="H19" s="363">
        <f>I19</f>
        <v>0.23899999999999999</v>
      </c>
      <c r="I19" s="364">
        <f>G28</f>
        <v>0.23899999999999999</v>
      </c>
      <c r="J19" s="365">
        <f>I28</f>
        <v>0.23899999999999999</v>
      </c>
      <c r="K19" s="365">
        <f>J28</f>
        <v>0.23599999999999999</v>
      </c>
      <c r="L19" s="366">
        <f>K28</f>
        <v>0.23200000000000001</v>
      </c>
      <c r="M19" s="363">
        <f>N19</f>
        <v>0.22900000000000001</v>
      </c>
      <c r="N19" s="367">
        <f>L28</f>
        <v>0.22900000000000001</v>
      </c>
      <c r="O19" s="368">
        <f>N28</f>
        <v>0.22800000000000001</v>
      </c>
      <c r="P19" s="368">
        <f>O28</f>
        <v>0.224</v>
      </c>
      <c r="Q19" s="369">
        <f>P28</f>
        <v>0.219</v>
      </c>
      <c r="R19" s="4"/>
      <c r="S19" s="4"/>
      <c r="T19" s="4"/>
      <c r="U19" s="4"/>
      <c r="V19" s="4"/>
      <c r="W19" s="4"/>
    </row>
    <row r="20" spans="1:38" x14ac:dyDescent="0.25">
      <c r="A20" s="370" t="s">
        <v>7</v>
      </c>
      <c r="B20" s="371" t="s">
        <v>101</v>
      </c>
      <c r="C20" s="372">
        <f>SUM(D20:G20)</f>
        <v>0</v>
      </c>
      <c r="D20" s="373"/>
      <c r="E20" s="374"/>
      <c r="F20" s="374"/>
      <c r="G20" s="375"/>
      <c r="H20" s="376">
        <f>SUM(I20:L20)</f>
        <v>0</v>
      </c>
      <c r="I20" s="373"/>
      <c r="J20" s="374"/>
      <c r="K20" s="374"/>
      <c r="L20" s="375"/>
      <c r="M20" s="376">
        <f>SUM(N20:Q20)</f>
        <v>0</v>
      </c>
      <c r="N20" s="373"/>
      <c r="O20" s="374"/>
      <c r="P20" s="374"/>
      <c r="Q20" s="375"/>
    </row>
    <row r="21" spans="1:38" x14ac:dyDescent="0.25">
      <c r="A21" s="370" t="s">
        <v>16</v>
      </c>
      <c r="B21" s="371" t="s">
        <v>101</v>
      </c>
      <c r="C21" s="372">
        <f>SUM(D21:G21)</f>
        <v>0.221</v>
      </c>
      <c r="D21" s="373">
        <v>5.8000000000000003E-2</v>
      </c>
      <c r="E21" s="374">
        <v>5.6000000000000001E-2</v>
      </c>
      <c r="F21" s="374">
        <v>5.2999999999999999E-2</v>
      </c>
      <c r="G21" s="375">
        <v>5.3999999999999999E-2</v>
      </c>
      <c r="H21" s="376">
        <f>SUM(I21:L21)</f>
        <v>0.32800000000000001</v>
      </c>
      <c r="I21" s="373">
        <v>8.4000000000000005E-2</v>
      </c>
      <c r="J21" s="374">
        <v>8.4000000000000005E-2</v>
      </c>
      <c r="K21" s="374">
        <v>7.9000000000000001E-2</v>
      </c>
      <c r="L21" s="375">
        <v>8.1000000000000003E-2</v>
      </c>
      <c r="M21" s="376">
        <f>SUM(N21:Q21)</f>
        <v>0.33800000000000002</v>
      </c>
      <c r="N21" s="373">
        <v>8.5999999999999993E-2</v>
      </c>
      <c r="O21" s="374">
        <v>8.6999999999999994E-2</v>
      </c>
      <c r="P21" s="374">
        <v>8.1000000000000003E-2</v>
      </c>
      <c r="Q21" s="375">
        <v>8.4000000000000005E-2</v>
      </c>
    </row>
    <row r="22" spans="1:38" x14ac:dyDescent="0.25">
      <c r="A22" s="370" t="s">
        <v>17</v>
      </c>
      <c r="B22" s="371" t="s">
        <v>101</v>
      </c>
      <c r="C22" s="372">
        <f t="shared" ref="C22:M22" si="0">C19+C20+C21</f>
        <v>0.47</v>
      </c>
      <c r="D22" s="377">
        <f t="shared" si="0"/>
        <v>0.307</v>
      </c>
      <c r="E22" s="378">
        <f t="shared" si="0"/>
        <v>0.30499999999999999</v>
      </c>
      <c r="F22" s="378">
        <f t="shared" si="0"/>
        <v>0.29899999999999999</v>
      </c>
      <c r="G22" s="379">
        <f t="shared" si="0"/>
        <v>0.29599999999999999</v>
      </c>
      <c r="H22" s="376">
        <f t="shared" si="0"/>
        <v>0.56699999999999995</v>
      </c>
      <c r="I22" s="377">
        <f t="shared" si="0"/>
        <v>0.32300000000000001</v>
      </c>
      <c r="J22" s="378">
        <f>J19+J20+J21</f>
        <v>0.32300000000000001</v>
      </c>
      <c r="K22" s="378">
        <f>K19+K20+K21</f>
        <v>0.315</v>
      </c>
      <c r="L22" s="379">
        <f>L19+L20+L21</f>
        <v>0.313</v>
      </c>
      <c r="M22" s="376">
        <f t="shared" si="0"/>
        <v>0.56700000000000006</v>
      </c>
      <c r="N22" s="377">
        <f>N19+N20+N21</f>
        <v>0.315</v>
      </c>
      <c r="O22" s="378">
        <f>O19+O20+O21</f>
        <v>0.315</v>
      </c>
      <c r="P22" s="378">
        <f>P19+P20+P21</f>
        <v>0.30499999999999999</v>
      </c>
      <c r="Q22" s="379">
        <f>Q19+Q20+Q21</f>
        <v>0.30299999999999999</v>
      </c>
    </row>
    <row r="23" spans="1:38" x14ac:dyDescent="0.25">
      <c r="A23" s="370" t="s">
        <v>85</v>
      </c>
      <c r="B23" s="371" t="s">
        <v>101</v>
      </c>
      <c r="C23" s="372">
        <f>SUM(D23:G23)</f>
        <v>0.219</v>
      </c>
      <c r="D23" s="373">
        <v>5.5E-2</v>
      </c>
      <c r="E23" s="374">
        <v>5.6000000000000001E-2</v>
      </c>
      <c r="F23" s="374">
        <v>5.3999999999999999E-2</v>
      </c>
      <c r="G23" s="375">
        <v>5.3999999999999999E-2</v>
      </c>
      <c r="H23" s="363">
        <f>SUM(I23:L23)</f>
        <v>0.27400000000000002</v>
      </c>
      <c r="I23" s="373">
        <v>6.8000000000000005E-2</v>
      </c>
      <c r="J23" s="374">
        <v>7.0999999999999994E-2</v>
      </c>
      <c r="K23" s="374">
        <v>6.7000000000000004E-2</v>
      </c>
      <c r="L23" s="375">
        <v>6.8000000000000005E-2</v>
      </c>
      <c r="M23" s="363">
        <f>SUM(N23:Q23)</f>
        <v>0.27900000000000003</v>
      </c>
      <c r="N23" s="373">
        <v>6.9000000000000006E-2</v>
      </c>
      <c r="O23" s="374">
        <v>7.2999999999999995E-2</v>
      </c>
      <c r="P23" s="374">
        <v>6.8000000000000005E-2</v>
      </c>
      <c r="Q23" s="375">
        <v>6.9000000000000006E-2</v>
      </c>
    </row>
    <row r="24" spans="1:38" x14ac:dyDescent="0.25">
      <c r="A24" s="370" t="s">
        <v>84</v>
      </c>
      <c r="B24" s="371" t="s">
        <v>101</v>
      </c>
      <c r="C24" s="372">
        <f>SUM(D24:G24)</f>
        <v>8.0000000000000002E-3</v>
      </c>
      <c r="D24" s="373">
        <v>2E-3</v>
      </c>
      <c r="E24" s="374">
        <v>2E-3</v>
      </c>
      <c r="F24" s="374">
        <v>2E-3</v>
      </c>
      <c r="G24" s="375">
        <v>2E-3</v>
      </c>
      <c r="H24" s="376">
        <f>SUM(I24:L24)</f>
        <v>0.06</v>
      </c>
      <c r="I24" s="373">
        <v>1.4999999999999999E-2</v>
      </c>
      <c r="J24" s="374">
        <v>1.4999999999999999E-2</v>
      </c>
      <c r="K24" s="374">
        <v>1.4999999999999999E-2</v>
      </c>
      <c r="L24" s="375">
        <v>1.4999999999999999E-2</v>
      </c>
      <c r="M24" s="376">
        <f>SUM(N24:Q24)</f>
        <v>6.4000000000000001E-2</v>
      </c>
      <c r="N24" s="373">
        <v>1.6E-2</v>
      </c>
      <c r="O24" s="374">
        <v>1.6E-2</v>
      </c>
      <c r="P24" s="374">
        <v>1.6E-2</v>
      </c>
      <c r="Q24" s="375">
        <v>1.6E-2</v>
      </c>
    </row>
    <row r="25" spans="1:38" x14ac:dyDescent="0.25">
      <c r="A25" s="370" t="s">
        <v>5</v>
      </c>
      <c r="B25" s="371" t="s">
        <v>101</v>
      </c>
      <c r="C25" s="372">
        <f>SUM(D25:G25)</f>
        <v>0</v>
      </c>
      <c r="D25" s="373"/>
      <c r="E25" s="374"/>
      <c r="F25" s="374"/>
      <c r="G25" s="375"/>
      <c r="H25" s="376">
        <f>SUM(I25:L25)</f>
        <v>0</v>
      </c>
      <c r="I25" s="373"/>
      <c r="J25" s="374"/>
      <c r="K25" s="374"/>
      <c r="L25" s="375"/>
      <c r="M25" s="376">
        <f>SUM(N25:Q25)</f>
        <v>4.0000000000000001E-3</v>
      </c>
      <c r="N25" s="373">
        <v>1E-3</v>
      </c>
      <c r="O25" s="374">
        <v>1E-3</v>
      </c>
      <c r="P25" s="374">
        <v>1E-3</v>
      </c>
      <c r="Q25" s="375">
        <v>1E-3</v>
      </c>
    </row>
    <row r="26" spans="1:38" x14ac:dyDescent="0.25">
      <c r="A26" s="370" t="s">
        <v>18</v>
      </c>
      <c r="B26" s="371" t="s">
        <v>101</v>
      </c>
      <c r="C26" s="359">
        <f>SUM(D26:G26)</f>
        <v>0</v>
      </c>
      <c r="D26" s="380"/>
      <c r="E26" s="374"/>
      <c r="F26" s="374"/>
      <c r="G26" s="375"/>
      <c r="H26" s="376">
        <f>SUM(I26:L26)</f>
        <v>0</v>
      </c>
      <c r="I26" s="380"/>
      <c r="J26" s="374"/>
      <c r="K26" s="374"/>
      <c r="L26" s="375"/>
      <c r="M26" s="376">
        <f>SUM(N26:Q26)</f>
        <v>0</v>
      </c>
      <c r="N26" s="380"/>
      <c r="O26" s="374"/>
      <c r="P26" s="374"/>
      <c r="Q26" s="375"/>
    </row>
    <row r="27" spans="1:38" x14ac:dyDescent="0.25">
      <c r="A27" s="370" t="s">
        <v>6</v>
      </c>
      <c r="B27" s="371" t="s">
        <v>101</v>
      </c>
      <c r="C27" s="372">
        <f>SUM(D27:G27)</f>
        <v>4.0000000000000001E-3</v>
      </c>
      <c r="D27" s="373">
        <v>1E-3</v>
      </c>
      <c r="E27" s="374">
        <v>1E-3</v>
      </c>
      <c r="F27" s="374">
        <v>1E-3</v>
      </c>
      <c r="G27" s="375">
        <v>1E-3</v>
      </c>
      <c r="H27" s="376">
        <f>SUM(I27:L27)</f>
        <v>4.0000000000000001E-3</v>
      </c>
      <c r="I27" s="373">
        <v>1E-3</v>
      </c>
      <c r="J27" s="374">
        <v>1E-3</v>
      </c>
      <c r="K27" s="374">
        <v>1E-3</v>
      </c>
      <c r="L27" s="375">
        <v>1E-3</v>
      </c>
      <c r="M27" s="376">
        <f>SUM(N27:Q27)</f>
        <v>4.0000000000000001E-3</v>
      </c>
      <c r="N27" s="373">
        <v>1E-3</v>
      </c>
      <c r="O27" s="374">
        <v>1E-3</v>
      </c>
      <c r="P27" s="374">
        <v>1E-3</v>
      </c>
      <c r="Q27" s="375">
        <v>1E-3</v>
      </c>
    </row>
    <row r="28" spans="1:38" ht="15.75" thickBot="1" x14ac:dyDescent="0.3">
      <c r="A28" s="381" t="s">
        <v>8</v>
      </c>
      <c r="B28" s="382" t="s">
        <v>101</v>
      </c>
      <c r="C28" s="383">
        <f>G28</f>
        <v>0.23899999999999999</v>
      </c>
      <c r="D28" s="384">
        <v>0.249</v>
      </c>
      <c r="E28" s="385">
        <v>0.246</v>
      </c>
      <c r="F28" s="385">
        <v>0.24199999999999999</v>
      </c>
      <c r="G28" s="386">
        <v>0.23899999999999999</v>
      </c>
      <c r="H28" s="387">
        <f>L28</f>
        <v>0.22900000000000001</v>
      </c>
      <c r="I28" s="384">
        <v>0.23899999999999999</v>
      </c>
      <c r="J28" s="385">
        <v>0.23599999999999999</v>
      </c>
      <c r="K28" s="385">
        <v>0.23200000000000001</v>
      </c>
      <c r="L28" s="386">
        <v>0.22900000000000001</v>
      </c>
      <c r="M28" s="388">
        <f>Q28</f>
        <v>0.216</v>
      </c>
      <c r="N28" s="384">
        <v>0.22800000000000001</v>
      </c>
      <c r="O28" s="385">
        <v>0.224</v>
      </c>
      <c r="P28" s="385">
        <v>0.219</v>
      </c>
      <c r="Q28" s="386">
        <v>0.216</v>
      </c>
      <c r="R28" s="4"/>
      <c r="S28" s="4"/>
      <c r="T28" s="4"/>
      <c r="U28" s="4"/>
      <c r="V28" s="4"/>
      <c r="W28" s="4"/>
      <c r="Y28" s="4"/>
      <c r="Z28" s="4"/>
      <c r="AA28" s="4"/>
      <c r="AB28" s="4"/>
      <c r="AD28" s="4"/>
      <c r="AE28" s="4"/>
      <c r="AF28" s="4"/>
      <c r="AG28" s="4"/>
      <c r="AI28" s="4"/>
      <c r="AJ28" s="4"/>
      <c r="AK28" s="4"/>
      <c r="AL28" s="4"/>
    </row>
    <row r="29" spans="1:38" ht="15.75" thickBot="1" x14ac:dyDescent="0.3">
      <c r="A29" s="50"/>
      <c r="B29" s="51"/>
      <c r="C29" s="50"/>
      <c r="D29" s="70"/>
      <c r="E29" s="16"/>
      <c r="F29" s="16"/>
      <c r="G29" s="16"/>
      <c r="H29" s="49"/>
      <c r="I29" s="16"/>
      <c r="J29" s="16"/>
      <c r="K29" s="16"/>
      <c r="L29" s="16"/>
      <c r="M29" s="16"/>
      <c r="N29" s="16"/>
      <c r="O29" s="16"/>
      <c r="P29" s="16"/>
      <c r="Q29" s="16"/>
      <c r="R29" s="16"/>
      <c r="Y29" s="2"/>
      <c r="Z29" s="2"/>
    </row>
    <row r="30" spans="1:38" ht="51.95" customHeight="1" thickBot="1" x14ac:dyDescent="0.3">
      <c r="A30" s="139" t="s">
        <v>124</v>
      </c>
      <c r="B30" s="76"/>
      <c r="C30" s="288">
        <f>C22-(C23+C24+C25+C26+C27)-C28</f>
        <v>0</v>
      </c>
      <c r="D30" s="289">
        <f>D22-(D23+D24+D25+D26+D27)-D28</f>
        <v>0</v>
      </c>
      <c r="E30" s="290">
        <f t="shared" ref="E30:Q30" si="1">E22-(E23+E24+E25+E26+E27)-E28</f>
        <v>0</v>
      </c>
      <c r="F30" s="290">
        <f t="shared" si="1"/>
        <v>0</v>
      </c>
      <c r="G30" s="291">
        <f t="shared" si="1"/>
        <v>0</v>
      </c>
      <c r="H30" s="292">
        <f t="shared" si="1"/>
        <v>0</v>
      </c>
      <c r="I30" s="289">
        <f t="shared" si="1"/>
        <v>0</v>
      </c>
      <c r="J30" s="290">
        <f t="shared" si="1"/>
        <v>0</v>
      </c>
      <c r="K30" s="290">
        <f t="shared" si="1"/>
        <v>0</v>
      </c>
      <c r="L30" s="291">
        <f t="shared" si="1"/>
        <v>0</v>
      </c>
      <c r="M30" s="292">
        <f t="shared" si="1"/>
        <v>0</v>
      </c>
      <c r="N30" s="289">
        <f t="shared" si="1"/>
        <v>0</v>
      </c>
      <c r="O30" s="290">
        <f t="shared" si="1"/>
        <v>0</v>
      </c>
      <c r="P30" s="290">
        <f t="shared" si="1"/>
        <v>0</v>
      </c>
      <c r="Q30" s="293">
        <f t="shared" si="1"/>
        <v>0</v>
      </c>
      <c r="Y30" s="2"/>
      <c r="Z30" s="2"/>
    </row>
    <row r="31" spans="1:38" ht="15.75" thickBot="1" x14ac:dyDescent="0.3">
      <c r="B31" s="40"/>
      <c r="H31" s="2"/>
      <c r="Y31" s="2"/>
      <c r="Z31" s="2"/>
    </row>
    <row r="32" spans="1:38" ht="47.1" customHeight="1" thickBot="1" x14ac:dyDescent="0.3">
      <c r="A32" s="139" t="s">
        <v>118</v>
      </c>
      <c r="B32" s="41"/>
      <c r="C32" s="269" t="str">
        <f>IF(SUM(C20:C21,C23:C28)&gt;0,"Проверка пройдена","Заполните данные в балансе")</f>
        <v>Проверка пройдена</v>
      </c>
      <c r="D32" s="270" t="str">
        <f t="shared" ref="D32:Q32" si="2">IF(SUM(D20:D21,D23:D28)&gt;0,"Проверка пройдена","Заполните данные в балансе")</f>
        <v>Проверка пройдена</v>
      </c>
      <c r="E32" s="271" t="str">
        <f t="shared" si="2"/>
        <v>Проверка пройдена</v>
      </c>
      <c r="F32" s="271" t="str">
        <f t="shared" si="2"/>
        <v>Проверка пройдена</v>
      </c>
      <c r="G32" s="272" t="str">
        <f t="shared" si="2"/>
        <v>Проверка пройдена</v>
      </c>
      <c r="H32" s="269" t="str">
        <f t="shared" si="2"/>
        <v>Проверка пройдена</v>
      </c>
      <c r="I32" s="270" t="str">
        <f t="shared" si="2"/>
        <v>Проверка пройдена</v>
      </c>
      <c r="J32" s="271" t="str">
        <f t="shared" si="2"/>
        <v>Проверка пройдена</v>
      </c>
      <c r="K32" s="271" t="str">
        <f t="shared" si="2"/>
        <v>Проверка пройдена</v>
      </c>
      <c r="L32" s="272" t="str">
        <f t="shared" si="2"/>
        <v>Проверка пройдена</v>
      </c>
      <c r="M32" s="269" t="str">
        <f t="shared" si="2"/>
        <v>Проверка пройдена</v>
      </c>
      <c r="N32" s="270" t="str">
        <f t="shared" si="2"/>
        <v>Проверка пройдена</v>
      </c>
      <c r="O32" s="271" t="str">
        <f t="shared" si="2"/>
        <v>Проверка пройдена</v>
      </c>
      <c r="P32" s="271" t="str">
        <f t="shared" si="2"/>
        <v>Проверка пройдена</v>
      </c>
      <c r="Q32" s="273" t="str">
        <f t="shared" si="2"/>
        <v>Проверка пройдена</v>
      </c>
      <c r="Y32" s="2"/>
      <c r="Z32" s="2"/>
    </row>
    <row r="33" spans="1:64" x14ac:dyDescent="0.25">
      <c r="D33" s="2"/>
      <c r="H33" s="2"/>
      <c r="Y33" s="2"/>
      <c r="Z33" s="2"/>
    </row>
    <row r="35" spans="1:64" x14ac:dyDescent="0.25">
      <c r="A35" s="128" t="s">
        <v>109</v>
      </c>
      <c r="B35" s="18"/>
      <c r="C35" s="4"/>
      <c r="D35" s="4"/>
      <c r="E35" s="4"/>
      <c r="F35" s="4"/>
      <c r="G35" s="4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U35" s="4"/>
      <c r="AV35" s="4"/>
      <c r="AW35" s="4"/>
    </row>
    <row r="36" spans="1:64" x14ac:dyDescent="0.25">
      <c r="A36" s="127" t="s">
        <v>113</v>
      </c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64" ht="15.75" thickBot="1" x14ac:dyDescent="0.3">
      <c r="A37" s="127" t="s">
        <v>125</v>
      </c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64" ht="14.45" customHeight="1" x14ac:dyDescent="0.25">
      <c r="A38" s="464" t="s">
        <v>15</v>
      </c>
      <c r="B38" s="466" t="s">
        <v>36</v>
      </c>
      <c r="C38" s="461" t="str">
        <f>(YEAR(Test_date)-7)&amp;" год"</f>
        <v>2013 год</v>
      </c>
      <c r="D38" s="457" t="str">
        <f>C38</f>
        <v>2013 год</v>
      </c>
      <c r="E38" s="458"/>
      <c r="F38" s="458"/>
      <c r="G38" s="460"/>
      <c r="H38" s="461" t="str">
        <f>(LEFT(C38,4)+1)&amp;" год"</f>
        <v>2014 год</v>
      </c>
      <c r="I38" s="457" t="str">
        <f>H38</f>
        <v>2014 год</v>
      </c>
      <c r="J38" s="458"/>
      <c r="K38" s="458"/>
      <c r="L38" s="460"/>
      <c r="M38" s="461" t="str">
        <f>(LEFT(H38,4)+1)&amp;" год"</f>
        <v>2015 год</v>
      </c>
      <c r="N38" s="457" t="str">
        <f>M38</f>
        <v>2015 год</v>
      </c>
      <c r="O38" s="458"/>
      <c r="P38" s="458"/>
      <c r="Q38" s="460"/>
      <c r="R38" s="461" t="str">
        <f>(LEFT(M38,4)+1)&amp;" год"</f>
        <v>2016 год</v>
      </c>
      <c r="S38" s="457" t="str">
        <f>R38</f>
        <v>2016 год</v>
      </c>
      <c r="T38" s="458"/>
      <c r="U38" s="458"/>
      <c r="V38" s="460"/>
      <c r="W38" s="461" t="str">
        <f>(LEFT(R38,4)+1)&amp;" год"</f>
        <v>2017 год</v>
      </c>
      <c r="X38" s="457" t="str">
        <f>W38</f>
        <v>2017 год</v>
      </c>
      <c r="Y38" s="458"/>
      <c r="Z38" s="458"/>
      <c r="AA38" s="460"/>
      <c r="AB38" s="461" t="str">
        <f>(LEFT(W38,4)+1)&amp;" год"</f>
        <v>2018 год</v>
      </c>
      <c r="AC38" s="457" t="str">
        <f>AB38</f>
        <v>2018 год</v>
      </c>
      <c r="AD38" s="458"/>
      <c r="AE38" s="458"/>
      <c r="AF38" s="460"/>
      <c r="AG38" s="461" t="str">
        <f>(LEFT(AB38,4)+1)&amp;" год"</f>
        <v>2019 год</v>
      </c>
      <c r="AH38" s="457" t="str">
        <f>AG38</f>
        <v>2019 год</v>
      </c>
      <c r="AI38" s="458"/>
      <c r="AJ38" s="458"/>
      <c r="AK38" s="459"/>
      <c r="AL38" s="4"/>
      <c r="AM38" s="4"/>
      <c r="AT38" s="7"/>
      <c r="AU38" s="7"/>
      <c r="AV38" s="7"/>
      <c r="AW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 ht="15.75" thickBot="1" x14ac:dyDescent="0.3">
      <c r="A39" s="465"/>
      <c r="B39" s="467"/>
      <c r="C39" s="462"/>
      <c r="D39" s="402" t="s">
        <v>0</v>
      </c>
      <c r="E39" s="403" t="s">
        <v>1</v>
      </c>
      <c r="F39" s="403" t="s">
        <v>2</v>
      </c>
      <c r="G39" s="404" t="s">
        <v>3</v>
      </c>
      <c r="H39" s="462"/>
      <c r="I39" s="405" t="s">
        <v>0</v>
      </c>
      <c r="J39" s="403" t="s">
        <v>1</v>
      </c>
      <c r="K39" s="403" t="s">
        <v>2</v>
      </c>
      <c r="L39" s="404" t="s">
        <v>3</v>
      </c>
      <c r="M39" s="462"/>
      <c r="N39" s="405" t="s">
        <v>0</v>
      </c>
      <c r="O39" s="403" t="s">
        <v>1</v>
      </c>
      <c r="P39" s="403" t="s">
        <v>2</v>
      </c>
      <c r="Q39" s="404" t="s">
        <v>3</v>
      </c>
      <c r="R39" s="462"/>
      <c r="S39" s="405" t="s">
        <v>0</v>
      </c>
      <c r="T39" s="403" t="s">
        <v>1</v>
      </c>
      <c r="U39" s="403" t="s">
        <v>2</v>
      </c>
      <c r="V39" s="406" t="s">
        <v>3</v>
      </c>
      <c r="W39" s="462"/>
      <c r="X39" s="405" t="s">
        <v>0</v>
      </c>
      <c r="Y39" s="403" t="s">
        <v>1</v>
      </c>
      <c r="Z39" s="403" t="s">
        <v>2</v>
      </c>
      <c r="AA39" s="404" t="s">
        <v>3</v>
      </c>
      <c r="AB39" s="462"/>
      <c r="AC39" s="405" t="s">
        <v>0</v>
      </c>
      <c r="AD39" s="403" t="s">
        <v>1</v>
      </c>
      <c r="AE39" s="403" t="s">
        <v>2</v>
      </c>
      <c r="AF39" s="404" t="s">
        <v>3</v>
      </c>
      <c r="AG39" s="462"/>
      <c r="AH39" s="402" t="s">
        <v>0</v>
      </c>
      <c r="AI39" s="403" t="s">
        <v>1</v>
      </c>
      <c r="AJ39" s="403" t="s">
        <v>2</v>
      </c>
      <c r="AK39" s="406" t="s">
        <v>3</v>
      </c>
      <c r="AL39" s="4"/>
      <c r="AM39" s="4"/>
      <c r="AT39" s="7"/>
      <c r="AU39" s="7"/>
      <c r="AV39" s="7"/>
      <c r="AW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s="53" customFormat="1" ht="15.75" thickBot="1" x14ac:dyDescent="0.3">
      <c r="A40" s="108" t="s">
        <v>8</v>
      </c>
      <c r="B40" s="77" t="s">
        <v>101</v>
      </c>
      <c r="C40" s="55">
        <f>G40</f>
        <v>0.25600000000000001</v>
      </c>
      <c r="D40" s="140">
        <v>0.254</v>
      </c>
      <c r="E40" s="141">
        <v>0.254</v>
      </c>
      <c r="F40" s="141">
        <v>0.25</v>
      </c>
      <c r="G40" s="142">
        <v>0.25600000000000001</v>
      </c>
      <c r="H40" s="56">
        <f>L40</f>
        <v>0.254</v>
      </c>
      <c r="I40" s="140">
        <v>0.25600000000000001</v>
      </c>
      <c r="J40" s="141">
        <v>0.253</v>
      </c>
      <c r="K40" s="141">
        <v>0.254</v>
      </c>
      <c r="L40" s="142">
        <v>0.254</v>
      </c>
      <c r="M40" s="56">
        <f>Q40</f>
        <v>0.249</v>
      </c>
      <c r="N40" s="140">
        <v>0.252</v>
      </c>
      <c r="O40" s="141">
        <v>0.251</v>
      </c>
      <c r="P40" s="141">
        <v>0.251</v>
      </c>
      <c r="Q40" s="142">
        <v>0.249</v>
      </c>
      <c r="R40" s="56">
        <f>V40</f>
        <v>0.249</v>
      </c>
      <c r="S40" s="140">
        <v>0.25</v>
      </c>
      <c r="T40" s="141">
        <v>0.251</v>
      </c>
      <c r="U40" s="141">
        <v>0.251</v>
      </c>
      <c r="V40" s="142">
        <v>0.249</v>
      </c>
      <c r="W40" s="56">
        <f>AA40</f>
        <v>0.23899999999999999</v>
      </c>
      <c r="X40" s="57">
        <f>D28</f>
        <v>0.249</v>
      </c>
      <c r="Y40" s="57">
        <f>E28</f>
        <v>0.246</v>
      </c>
      <c r="Z40" s="57">
        <f>F28</f>
        <v>0.24199999999999999</v>
      </c>
      <c r="AA40" s="57">
        <f>G28</f>
        <v>0.23899999999999999</v>
      </c>
      <c r="AB40" s="56">
        <f>AF40</f>
        <v>0.22900000000000001</v>
      </c>
      <c r="AC40" s="57">
        <f>I28</f>
        <v>0.23899999999999999</v>
      </c>
      <c r="AD40" s="57">
        <f>J28</f>
        <v>0.23599999999999999</v>
      </c>
      <c r="AE40" s="57">
        <f>K28</f>
        <v>0.23200000000000001</v>
      </c>
      <c r="AF40" s="57">
        <f>L28</f>
        <v>0.22900000000000001</v>
      </c>
      <c r="AG40" s="56">
        <f>AK40</f>
        <v>0.216</v>
      </c>
      <c r="AH40" s="71">
        <f>N28</f>
        <v>0.22800000000000001</v>
      </c>
      <c r="AI40" s="57">
        <f>O28</f>
        <v>0.224</v>
      </c>
      <c r="AJ40" s="57">
        <f>P28</f>
        <v>0.219</v>
      </c>
      <c r="AK40" s="72">
        <f>Q28</f>
        <v>0.216</v>
      </c>
      <c r="AL40" s="52"/>
      <c r="AM40" s="52"/>
      <c r="AT40" s="54"/>
      <c r="AU40" s="54"/>
      <c r="AV40" s="54"/>
      <c r="AW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64" s="11" customFormat="1" ht="15.75" thickBot="1" x14ac:dyDescent="0.3">
      <c r="A41" s="73"/>
      <c r="B41" s="74"/>
      <c r="C41" s="30"/>
      <c r="D41" s="29"/>
      <c r="E41" s="29"/>
      <c r="F41" s="29"/>
      <c r="G41" s="29"/>
      <c r="H41" s="30"/>
      <c r="I41" s="29"/>
      <c r="J41" s="29"/>
      <c r="K41" s="29"/>
      <c r="L41" s="29"/>
      <c r="M41" s="30"/>
      <c r="N41" s="29"/>
      <c r="O41" s="29"/>
      <c r="P41" s="29"/>
      <c r="Q41" s="29"/>
      <c r="R41" s="30"/>
      <c r="S41" s="29"/>
      <c r="T41" s="29"/>
      <c r="U41" s="29"/>
      <c r="V41" s="29"/>
      <c r="W41" s="30"/>
      <c r="X41" s="29"/>
      <c r="Y41" s="29"/>
      <c r="Z41" s="29"/>
      <c r="AA41" s="29"/>
      <c r="AB41" s="30"/>
      <c r="AC41" s="29"/>
      <c r="AD41" s="29"/>
      <c r="AE41" s="29"/>
      <c r="AF41" s="29"/>
      <c r="AG41" s="30"/>
      <c r="AH41" s="29"/>
      <c r="AI41" s="29"/>
      <c r="AJ41" s="29"/>
      <c r="AK41" s="29"/>
    </row>
    <row r="42" spans="1:64" s="11" customFormat="1" ht="58.5" customHeight="1" thickBot="1" x14ac:dyDescent="0.3">
      <c r="A42" s="139" t="s">
        <v>119</v>
      </c>
      <c r="B42" s="78"/>
      <c r="C42" s="269" t="str">
        <f>IF(C40&gt;0,"Проверка пройдена","Заполните данные в запасах (Таблица 3)")</f>
        <v>Проверка пройдена</v>
      </c>
      <c r="D42" s="270" t="str">
        <f t="shared" ref="D42:V42" si="3">IF(D40&gt;0,"Проверка пройдена","Заполните данные в запасах (Таблица 3)")</f>
        <v>Проверка пройдена</v>
      </c>
      <c r="E42" s="271" t="str">
        <f t="shared" si="3"/>
        <v>Проверка пройдена</v>
      </c>
      <c r="F42" s="271" t="str">
        <f t="shared" si="3"/>
        <v>Проверка пройдена</v>
      </c>
      <c r="G42" s="272" t="str">
        <f t="shared" si="3"/>
        <v>Проверка пройдена</v>
      </c>
      <c r="H42" s="269" t="str">
        <f t="shared" si="3"/>
        <v>Проверка пройдена</v>
      </c>
      <c r="I42" s="270" t="str">
        <f t="shared" si="3"/>
        <v>Проверка пройдена</v>
      </c>
      <c r="J42" s="271" t="str">
        <f t="shared" si="3"/>
        <v>Проверка пройдена</v>
      </c>
      <c r="K42" s="271" t="str">
        <f t="shared" si="3"/>
        <v>Проверка пройдена</v>
      </c>
      <c r="L42" s="272" t="str">
        <f t="shared" si="3"/>
        <v>Проверка пройдена</v>
      </c>
      <c r="M42" s="269" t="str">
        <f t="shared" si="3"/>
        <v>Проверка пройдена</v>
      </c>
      <c r="N42" s="270" t="str">
        <f t="shared" si="3"/>
        <v>Проверка пройдена</v>
      </c>
      <c r="O42" s="271" t="str">
        <f t="shared" si="3"/>
        <v>Проверка пройдена</v>
      </c>
      <c r="P42" s="271" t="str">
        <f t="shared" si="3"/>
        <v>Проверка пройдена</v>
      </c>
      <c r="Q42" s="272" t="str">
        <f t="shared" si="3"/>
        <v>Проверка пройдена</v>
      </c>
      <c r="R42" s="269" t="str">
        <f t="shared" si="3"/>
        <v>Проверка пройдена</v>
      </c>
      <c r="S42" s="270" t="str">
        <f t="shared" si="3"/>
        <v>Проверка пройдена</v>
      </c>
      <c r="T42" s="271" t="str">
        <f t="shared" si="3"/>
        <v>Проверка пройдена</v>
      </c>
      <c r="U42" s="271" t="str">
        <f t="shared" si="3"/>
        <v>Проверка пройдена</v>
      </c>
      <c r="V42" s="273" t="str">
        <f t="shared" si="3"/>
        <v>Проверка пройдена</v>
      </c>
      <c r="W42" s="30"/>
      <c r="X42" s="29"/>
      <c r="Y42" s="29"/>
      <c r="Z42" s="29"/>
      <c r="AA42" s="29"/>
      <c r="AB42" s="30"/>
      <c r="AC42" s="29"/>
      <c r="AD42" s="29"/>
      <c r="AE42" s="29"/>
      <c r="AF42" s="29"/>
      <c r="AG42" s="30"/>
      <c r="AH42" s="29"/>
      <c r="AI42" s="29"/>
      <c r="AJ42" s="29"/>
      <c r="AK42" s="29"/>
    </row>
    <row r="43" spans="1:64" x14ac:dyDescent="0.25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4"/>
    </row>
    <row r="44" spans="1:64" s="11" customFormat="1" x14ac:dyDescent="0.25">
      <c r="A44" s="128" t="s">
        <v>110</v>
      </c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30"/>
      <c r="X44" s="29"/>
      <c r="Y44" s="29"/>
      <c r="Z44" s="29"/>
      <c r="AA44" s="29"/>
      <c r="AB44" s="30"/>
      <c r="AC44" s="29"/>
      <c r="AD44" s="29"/>
      <c r="AE44" s="29"/>
      <c r="AF44" s="29"/>
      <c r="AG44" s="30"/>
      <c r="AH44" s="29"/>
      <c r="AI44" s="29"/>
      <c r="AJ44" s="29"/>
      <c r="AK44" s="29"/>
    </row>
    <row r="45" spans="1:64" ht="15.75" thickBot="1" x14ac:dyDescent="0.3">
      <c r="A45" s="127" t="s">
        <v>117</v>
      </c>
      <c r="B45" s="65"/>
      <c r="C45" s="66"/>
      <c r="D45" s="66"/>
      <c r="E45" s="67"/>
      <c r="F45" s="67"/>
      <c r="G45" s="67"/>
      <c r="H45" s="6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4"/>
    </row>
    <row r="46" spans="1:64" ht="14.45" customHeight="1" x14ac:dyDescent="0.25">
      <c r="A46" s="464" t="s">
        <v>15</v>
      </c>
      <c r="B46" s="466" t="s">
        <v>36</v>
      </c>
      <c r="C46" s="461" t="str">
        <f>YEAR(Test_date)&amp;" год"</f>
        <v>2020 год</v>
      </c>
      <c r="D46" s="457" t="str">
        <f>C46</f>
        <v>2020 год</v>
      </c>
      <c r="E46" s="458"/>
      <c r="F46" s="458"/>
      <c r="G46" s="459"/>
      <c r="H46" s="463" t="s">
        <v>79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64" ht="15.75" thickBot="1" x14ac:dyDescent="0.3">
      <c r="A47" s="465"/>
      <c r="B47" s="467"/>
      <c r="C47" s="462"/>
      <c r="D47" s="402" t="s">
        <v>0</v>
      </c>
      <c r="E47" s="403" t="s">
        <v>1</v>
      </c>
      <c r="F47" s="403" t="s">
        <v>2</v>
      </c>
      <c r="G47" s="406" t="s">
        <v>3</v>
      </c>
      <c r="H47" s="46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64" x14ac:dyDescent="0.25">
      <c r="A48" s="107" t="s">
        <v>5</v>
      </c>
      <c r="B48" s="105" t="s">
        <v>107</v>
      </c>
      <c r="C48" s="106">
        <f>SUM(D48:G48)</f>
        <v>1</v>
      </c>
      <c r="D48" s="300">
        <f>IFERROR(AVERAGE(D25/$C25,I25/$H25,N25/$M25),0)</f>
        <v>0</v>
      </c>
      <c r="E48" s="301">
        <v>1</v>
      </c>
      <c r="F48" s="302">
        <f>IFERROR(AVERAGE(F25/$C25,K25/$H25,P25/$M25),0)</f>
        <v>0</v>
      </c>
      <c r="G48" s="303">
        <f>IFERROR(AVERAGE(G25/$C25,L25/$H25,Q25/$M25),0)</f>
        <v>0</v>
      </c>
      <c r="H48" s="274" t="str">
        <f>IF(AND(SUM(D48:G48)&gt;0,C48&lt;&gt;1),"Сумма значений 1,2,3,4 кварталов должна равняться '1'","Проверка пройдена")</f>
        <v>Проверка пройдена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49" ht="15.75" thickBot="1" x14ac:dyDescent="0.3">
      <c r="A49" s="108" t="s">
        <v>6</v>
      </c>
      <c r="B49" s="77" t="s">
        <v>107</v>
      </c>
      <c r="C49" s="58">
        <f>SUM(D49:G49)</f>
        <v>1</v>
      </c>
      <c r="D49" s="304">
        <v>0.25</v>
      </c>
      <c r="E49" s="305">
        <v>0.25</v>
      </c>
      <c r="F49" s="305">
        <v>0.25</v>
      </c>
      <c r="G49" s="306">
        <v>0.25</v>
      </c>
      <c r="H49" s="274" t="str">
        <f>IF(AND(SUM(D49:G49)&gt;0,C49&lt;&gt;1),"Сумма значений 1,2,3,4 кварталов должна равняться '1'","Проверка пройдена")</f>
        <v>Проверка пройдена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4"/>
    </row>
    <row r="50" spans="1:49" x14ac:dyDescent="0.25">
      <c r="A50" s="93"/>
      <c r="B50" s="94"/>
      <c r="C50" s="95"/>
      <c r="D50" s="96"/>
      <c r="E50" s="96"/>
      <c r="F50" s="96"/>
      <c r="G50" s="96"/>
      <c r="H50" s="9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4"/>
    </row>
    <row r="51" spans="1:49" s="11" customFormat="1" x14ac:dyDescent="0.25">
      <c r="A51" s="128" t="s">
        <v>114</v>
      </c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30"/>
      <c r="X51" s="29"/>
      <c r="Y51" s="29"/>
      <c r="Z51" s="29"/>
      <c r="AA51" s="29"/>
      <c r="AB51" s="30"/>
      <c r="AC51" s="29"/>
      <c r="AD51" s="29"/>
      <c r="AE51" s="29"/>
      <c r="AF51" s="29"/>
      <c r="AG51" s="30"/>
      <c r="AH51" s="29"/>
      <c r="AI51" s="29"/>
      <c r="AJ51" s="29"/>
      <c r="AK51" s="29"/>
    </row>
    <row r="52" spans="1:49" x14ac:dyDescent="0.25">
      <c r="A52" s="127" t="s">
        <v>103</v>
      </c>
      <c r="B52" s="91"/>
      <c r="C52" s="68"/>
      <c r="D52" s="68"/>
      <c r="E52" s="68"/>
      <c r="F52" s="68"/>
      <c r="G52" s="68"/>
      <c r="H52" s="6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"/>
    </row>
    <row r="53" spans="1:49" x14ac:dyDescent="0.25">
      <c r="A53" s="127" t="s">
        <v>120</v>
      </c>
      <c r="B53" s="91"/>
      <c r="C53" s="68"/>
      <c r="D53" s="68"/>
      <c r="E53" s="68"/>
      <c r="F53" s="68"/>
      <c r="G53" s="68"/>
      <c r="H53" s="6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4"/>
    </row>
    <row r="54" spans="1:49" ht="15.75" thickBot="1" x14ac:dyDescent="0.3">
      <c r="A54" s="127" t="s">
        <v>126</v>
      </c>
      <c r="B54" s="91"/>
      <c r="C54" s="68"/>
      <c r="D54" s="68"/>
      <c r="E54" s="68"/>
      <c r="F54" s="68"/>
      <c r="G54" s="68"/>
      <c r="H54" s="6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4"/>
    </row>
    <row r="55" spans="1:49" ht="15.75" thickBot="1" x14ac:dyDescent="0.3">
      <c r="A55" s="83" t="s">
        <v>13</v>
      </c>
      <c r="B55" s="84" t="s">
        <v>36</v>
      </c>
      <c r="C55" s="407" t="str">
        <f>(YEAR(Test_date)-3)&amp;" год"</f>
        <v>2017 год</v>
      </c>
      <c r="D55" s="408" t="str">
        <f>(LEFT(C55,4)+1)&amp;" год"</f>
        <v>2018 год</v>
      </c>
      <c r="E55" s="409" t="str">
        <f>(LEFT(D55,4)+1)&amp;" год"</f>
        <v>2019 год</v>
      </c>
      <c r="F55" s="410" t="str">
        <f>(LEFT(E55,4)+1)&amp;" год"</f>
        <v>2020 год</v>
      </c>
      <c r="G55" s="408" t="str">
        <f>(LEFT(F55,4)+1)&amp;" год"</f>
        <v>2021 год</v>
      </c>
      <c r="H55" s="409" t="str">
        <f>(LEFT(G55,4)+1)&amp;" год"</f>
        <v>2022 год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/>
    </row>
    <row r="56" spans="1:49" ht="15.75" thickBot="1" x14ac:dyDescent="0.3">
      <c r="A56" s="275" t="s">
        <v>106</v>
      </c>
      <c r="B56" s="85" t="s">
        <v>102</v>
      </c>
      <c r="C56" s="276">
        <v>1018.19</v>
      </c>
      <c r="D56" s="277">
        <v>1015.79</v>
      </c>
      <c r="E56" s="299">
        <v>1006.9</v>
      </c>
      <c r="F56" s="278">
        <v>1012</v>
      </c>
      <c r="G56" s="279">
        <v>1010</v>
      </c>
      <c r="H56" s="280">
        <v>1008.4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4"/>
    </row>
    <row r="57" spans="1:49" x14ac:dyDescent="0.25">
      <c r="A57" s="86"/>
      <c r="B57" s="87"/>
      <c r="C57" s="88"/>
      <c r="D57" s="88"/>
      <c r="E57" s="88"/>
      <c r="F57" s="89"/>
      <c r="G57" s="90"/>
      <c r="H57" s="9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49" s="11" customFormat="1" x14ac:dyDescent="0.25">
      <c r="A58" s="128" t="s">
        <v>99</v>
      </c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30"/>
      <c r="X58" s="29"/>
      <c r="Y58" s="29"/>
      <c r="Z58" s="29"/>
      <c r="AA58" s="29"/>
      <c r="AB58" s="30"/>
      <c r="AC58" s="29"/>
      <c r="AD58" s="29"/>
      <c r="AE58" s="29"/>
      <c r="AF58" s="29"/>
      <c r="AG58" s="30"/>
      <c r="AH58" s="29"/>
      <c r="AI58" s="29"/>
      <c r="AJ58" s="29"/>
      <c r="AK58" s="29"/>
    </row>
    <row r="59" spans="1:49" ht="15.75" thickBot="1" x14ac:dyDescent="0.3">
      <c r="A59" s="127" t="s">
        <v>127</v>
      </c>
      <c r="B59" s="91"/>
      <c r="C59" s="68"/>
      <c r="D59" s="68"/>
      <c r="E59" s="68"/>
      <c r="F59" s="68"/>
      <c r="G59" s="68"/>
      <c r="H59" s="6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</row>
    <row r="60" spans="1:49" ht="15.75" thickBot="1" x14ac:dyDescent="0.3">
      <c r="A60" s="83" t="s">
        <v>13</v>
      </c>
      <c r="B60" s="84" t="s">
        <v>36</v>
      </c>
      <c r="C60" s="407" t="str">
        <f>YEAR(Test_date)&amp;" год"</f>
        <v>2020 год</v>
      </c>
      <c r="D60" s="408" t="str">
        <f>(LEFT(C60,4)+1)&amp;" год"</f>
        <v>2021 год</v>
      </c>
      <c r="E60" s="409" t="str">
        <f>(LEFT(D60,4)+1)&amp;" год"</f>
        <v>2022 год</v>
      </c>
      <c r="F60" s="92"/>
      <c r="G60" s="92"/>
      <c r="H60" s="9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/>
    </row>
    <row r="61" spans="1:49" ht="15.75" thickBot="1" x14ac:dyDescent="0.3">
      <c r="A61" s="275" t="s">
        <v>129</v>
      </c>
      <c r="B61" s="110" t="s">
        <v>130</v>
      </c>
      <c r="C61" s="281">
        <f>IFERROR(((C27+H27+M27)/(C56+D56+E56))*1000,0)</f>
        <v>3.9462260924469231E-3</v>
      </c>
      <c r="D61" s="282">
        <f>C61</f>
        <v>3.9462260924469231E-3</v>
      </c>
      <c r="E61" s="283">
        <f>D61</f>
        <v>3.9462260924469231E-3</v>
      </c>
      <c r="F61" s="90"/>
      <c r="G61" s="90"/>
      <c r="H61" s="9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/>
    </row>
    <row r="62" spans="1:49" x14ac:dyDescent="0.25">
      <c r="A62" s="93"/>
      <c r="B62" s="94"/>
      <c r="C62" s="95"/>
      <c r="D62" s="96"/>
      <c r="E62" s="96"/>
      <c r="F62" s="96"/>
      <c r="G62" s="96"/>
      <c r="H62" s="9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/>
    </row>
    <row r="63" spans="1:49" x14ac:dyDescent="0.25">
      <c r="A63" s="128" t="s">
        <v>115</v>
      </c>
      <c r="B63" s="9"/>
      <c r="C63" s="9"/>
      <c r="D63" s="9"/>
      <c r="E63" s="9"/>
      <c r="F63" s="9"/>
      <c r="G63" s="9"/>
      <c r="H63" s="9"/>
      <c r="I63" s="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127" t="s">
        <v>121</v>
      </c>
      <c r="B64" s="9"/>
      <c r="C64" s="9"/>
      <c r="D64" s="9"/>
      <c r="E64" s="9"/>
      <c r="F64" s="9"/>
      <c r="G64" s="9"/>
      <c r="H64" s="9"/>
      <c r="I64" s="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.75" thickBot="1" x14ac:dyDescent="0.3">
      <c r="A65" s="127" t="s">
        <v>122</v>
      </c>
      <c r="B65" s="9"/>
      <c r="C65" s="9"/>
      <c r="D65" s="9"/>
      <c r="E65" s="9"/>
      <c r="F65" s="9"/>
      <c r="G65" s="9"/>
      <c r="H65" s="9"/>
      <c r="I65" s="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447" t="s">
        <v>19</v>
      </c>
      <c r="B66" s="449" t="s">
        <v>20</v>
      </c>
      <c r="C66" s="451" t="str">
        <f>YEAR(Test_date)&amp;" год"</f>
        <v>2020 год</v>
      </c>
      <c r="D66" s="452"/>
      <c r="E66" s="452"/>
      <c r="F66" s="453"/>
      <c r="G66" s="454" t="str">
        <f>(LEFT(C66,4)+1)&amp;" год"</f>
        <v>2021 год</v>
      </c>
      <c r="H66" s="455"/>
      <c r="I66" s="455"/>
      <c r="J66" s="456"/>
      <c r="K66" s="454" t="str">
        <f>(LEFT(G66,4)+1)&amp;" год"</f>
        <v>2022 год</v>
      </c>
      <c r="L66" s="455"/>
      <c r="M66" s="455"/>
      <c r="N66" s="45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.75" thickBot="1" x14ac:dyDescent="0.3">
      <c r="A67" s="448"/>
      <c r="B67" s="450"/>
      <c r="C67" s="411">
        <v>1</v>
      </c>
      <c r="D67" s="412">
        <v>2</v>
      </c>
      <c r="E67" s="412">
        <v>3</v>
      </c>
      <c r="F67" s="413">
        <v>4</v>
      </c>
      <c r="G67" s="402" t="s">
        <v>0</v>
      </c>
      <c r="H67" s="403" t="s">
        <v>1</v>
      </c>
      <c r="I67" s="403" t="s">
        <v>2</v>
      </c>
      <c r="J67" s="404" t="s">
        <v>3</v>
      </c>
      <c r="K67" s="402" t="s">
        <v>0</v>
      </c>
      <c r="L67" s="403" t="s">
        <v>1</v>
      </c>
      <c r="M67" s="403" t="s">
        <v>2</v>
      </c>
      <c r="N67" s="406" t="s">
        <v>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x14ac:dyDescent="0.25">
      <c r="A68" s="219" t="s">
        <v>21</v>
      </c>
      <c r="B68" s="186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2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5">
      <c r="A69" s="179" t="s">
        <v>22</v>
      </c>
      <c r="B69" s="176" t="s">
        <v>101</v>
      </c>
      <c r="C69" s="147">
        <f>'2. Прогноз. Без корректировки'!C15</f>
        <v>9.6000000000000002E-2</v>
      </c>
      <c r="D69" s="148">
        <f>'2. Прогноз. Без корректировки'!D15</f>
        <v>8.5000000000000006E-2</v>
      </c>
      <c r="E69" s="148">
        <f>'2. Прогноз. Без корректировки'!E15</f>
        <v>0.08</v>
      </c>
      <c r="F69" s="149">
        <f>'2. Прогноз. Без корректировки'!F15</f>
        <v>8.3000000000000004E-2</v>
      </c>
      <c r="G69" s="147">
        <f>'2. Прогноз. Без корректировки'!H15</f>
        <v>9.6000000000000002E-2</v>
      </c>
      <c r="H69" s="148">
        <f>'2. Прогноз. Без корректировки'!I15</f>
        <v>8.5000000000000006E-2</v>
      </c>
      <c r="I69" s="148">
        <f>'2. Прогноз. Без корректировки'!J15</f>
        <v>0.08</v>
      </c>
      <c r="J69" s="150">
        <f>'2. Прогноз. Без корректировки'!K15</f>
        <v>8.3000000000000004E-2</v>
      </c>
      <c r="K69" s="147">
        <f>'2. Прогноз. Без корректировки'!M15</f>
        <v>9.6000000000000002E-2</v>
      </c>
      <c r="L69" s="148">
        <f>'2. Прогноз. Без корректировки'!N15</f>
        <v>8.5000000000000006E-2</v>
      </c>
      <c r="M69" s="148">
        <f>'2. Прогноз. Без корректировки'!O15</f>
        <v>0.08</v>
      </c>
      <c r="N69" s="149">
        <f>'2. Прогноз. Без корректировки'!P15</f>
        <v>8.3000000000000004E-2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x14ac:dyDescent="0.25">
      <c r="A70" s="180" t="s">
        <v>23</v>
      </c>
      <c r="B70" s="177" t="s">
        <v>101</v>
      </c>
      <c r="C70" s="151">
        <f>'2. Прогноз. Без корректировки'!C29</f>
        <v>0</v>
      </c>
      <c r="D70" s="119">
        <f>'2. Прогноз. Без корректировки'!D29</f>
        <v>0</v>
      </c>
      <c r="E70" s="119">
        <f>'2. Прогноз. Без корректировки'!E29</f>
        <v>0</v>
      </c>
      <c r="F70" s="152">
        <f>'2. Прогноз. Без корректировки'!F29</f>
        <v>0</v>
      </c>
      <c r="G70" s="151">
        <f>'2. Прогноз. Без корректировки'!H29</f>
        <v>0</v>
      </c>
      <c r="H70" s="119">
        <f>'2. Прогноз. Без корректировки'!I29</f>
        <v>0</v>
      </c>
      <c r="I70" s="119">
        <f>'2. Прогноз. Без корректировки'!J29</f>
        <v>0</v>
      </c>
      <c r="J70" s="120">
        <f>'2. Прогноз. Без корректировки'!K29</f>
        <v>0</v>
      </c>
      <c r="K70" s="151">
        <f>'2. Прогноз. Без корректировки'!M29</f>
        <v>0</v>
      </c>
      <c r="L70" s="119">
        <f>'2. Прогноз. Без корректировки'!N29</f>
        <v>0</v>
      </c>
      <c r="M70" s="119">
        <f>'2. Прогноз. Без корректировки'!O29</f>
        <v>0</v>
      </c>
      <c r="N70" s="152">
        <f>'2. Прогноз. Без корректировки'!P29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13" customFormat="1" ht="15.75" customHeight="1" x14ac:dyDescent="0.25">
      <c r="A71" s="180" t="s">
        <v>24</v>
      </c>
      <c r="B71" s="177" t="s">
        <v>101</v>
      </c>
      <c r="C71" s="151">
        <f>'2. Прогноз. Без корректировки'!C36</f>
        <v>0.22800000000000001</v>
      </c>
      <c r="D71" s="119">
        <f>'2. Прогноз. Без корректировки'!D36+C85</f>
        <v>0.224</v>
      </c>
      <c r="E71" s="119">
        <f>'2. Прогноз. Без корректировки'!E36+D85</f>
        <v>0.219</v>
      </c>
      <c r="F71" s="152">
        <f>'2. Прогноз. Без корректировки'!F36+E85</f>
        <v>0.216</v>
      </c>
      <c r="G71" s="151">
        <f>'2. Прогноз. Без корректировки'!H36+F85</f>
        <v>0.22800000000000001</v>
      </c>
      <c r="H71" s="119">
        <f>'2. Прогноз. Без корректировки'!I36+G85</f>
        <v>0.224</v>
      </c>
      <c r="I71" s="119">
        <f>'2. Прогноз. Без корректировки'!J36+H85</f>
        <v>0.219</v>
      </c>
      <c r="J71" s="120">
        <f>'2. Прогноз. Без корректировки'!K36+I85</f>
        <v>0.216</v>
      </c>
      <c r="K71" s="151">
        <f>'2. Прогноз. Без корректировки'!M36+J85</f>
        <v>0.22800000000000001</v>
      </c>
      <c r="L71" s="119">
        <f>'2. Прогноз. Без корректировки'!N36+K85</f>
        <v>0.224</v>
      </c>
      <c r="M71" s="119">
        <f>'2. Прогноз. Без корректировки'!O36+L85</f>
        <v>0.219</v>
      </c>
      <c r="N71" s="152">
        <f>'2. Прогноз. Без корректировки'!P36+M85</f>
        <v>0.216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</row>
    <row r="72" spans="1:49" ht="18" customHeight="1" x14ac:dyDescent="0.25">
      <c r="A72" s="181" t="s">
        <v>25</v>
      </c>
      <c r="B72" s="178" t="s">
        <v>101</v>
      </c>
      <c r="C72" s="153">
        <f>(MIN(D40,I40,N40,S40,X40,AC40,AH40))</f>
        <v>0.22800000000000001</v>
      </c>
      <c r="D72" s="154">
        <f>(MIN(E40,J40,O40,T40,Y40,AD40,AI40))</f>
        <v>0.224</v>
      </c>
      <c r="E72" s="154">
        <f>(MIN(F40,K40,P40,U40,Z40,AE40,AJ40))</f>
        <v>0.219</v>
      </c>
      <c r="F72" s="155">
        <f>(MIN(G40,L40,Q40,V40,AA40,AF40,AK40))</f>
        <v>0.216</v>
      </c>
      <c r="G72" s="156">
        <f>(MIN(D40,I40,N40,S40,X40,AC40,AH40))</f>
        <v>0.22800000000000001</v>
      </c>
      <c r="H72" s="157">
        <f>(MIN(E40,J40,O40,T40,Y40,AD40,AI40))</f>
        <v>0.224</v>
      </c>
      <c r="I72" s="154">
        <f>(MIN(F40,K40,P40,U40,Z40,AE40,AJ40))</f>
        <v>0.219</v>
      </c>
      <c r="J72" s="157">
        <f>(MIN(G40,L40,Q40,V40,AA40,AF40,AK40))</f>
        <v>0.216</v>
      </c>
      <c r="K72" s="153">
        <f>(MIN(D40,I40,N40,S40,X40,AC40,AH40))</f>
        <v>0.22800000000000001</v>
      </c>
      <c r="L72" s="158">
        <f>(MIN(E40,J40,O40,T40,Y40,AD40,AI40))</f>
        <v>0.224</v>
      </c>
      <c r="M72" s="158">
        <f>(MIN(F40,K40,P40,U40,Z40,AE40,AJ40))</f>
        <v>0.219</v>
      </c>
      <c r="N72" s="159">
        <f>(MIN(G40,L40,Q40,V40,AA40,AF40,AK40))</f>
        <v>0.216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144" t="s">
        <v>26</v>
      </c>
      <c r="B73" s="146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22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5">
      <c r="A74" s="179" t="s">
        <v>27</v>
      </c>
      <c r="B74" s="176" t="s">
        <v>101</v>
      </c>
      <c r="C74" s="147">
        <f>IF(C71&lt;C72,-(C71-C72),0)</f>
        <v>0</v>
      </c>
      <c r="D74" s="148">
        <f>IF(D71&lt;D72,-(D71-D72),0)</f>
        <v>0</v>
      </c>
      <c r="E74" s="148">
        <f t="shared" ref="E74:N74" si="4">IF(E71&lt;E72,-(E71-E72),0)</f>
        <v>0</v>
      </c>
      <c r="F74" s="149">
        <f t="shared" si="4"/>
        <v>0</v>
      </c>
      <c r="G74" s="147">
        <f t="shared" si="4"/>
        <v>0</v>
      </c>
      <c r="H74" s="148">
        <f t="shared" si="4"/>
        <v>0</v>
      </c>
      <c r="I74" s="148">
        <f t="shared" si="4"/>
        <v>0</v>
      </c>
      <c r="J74" s="150">
        <f t="shared" si="4"/>
        <v>0</v>
      </c>
      <c r="K74" s="147">
        <f t="shared" si="4"/>
        <v>0</v>
      </c>
      <c r="L74" s="148">
        <f t="shared" si="4"/>
        <v>0</v>
      </c>
      <c r="M74" s="148">
        <f t="shared" si="4"/>
        <v>0</v>
      </c>
      <c r="N74" s="149">
        <f t="shared" si="4"/>
        <v>0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180" t="s">
        <v>80</v>
      </c>
      <c r="B75" s="177" t="s">
        <v>101</v>
      </c>
      <c r="C75" s="151">
        <f t="shared" ref="C75:N75" si="5">IF(C71&gt;C72,C71-C72,0)</f>
        <v>0</v>
      </c>
      <c r="D75" s="119">
        <f t="shared" si="5"/>
        <v>0</v>
      </c>
      <c r="E75" s="119">
        <f t="shared" si="5"/>
        <v>0</v>
      </c>
      <c r="F75" s="152">
        <f t="shared" si="5"/>
        <v>0</v>
      </c>
      <c r="G75" s="151">
        <f t="shared" si="5"/>
        <v>0</v>
      </c>
      <c r="H75" s="119">
        <f t="shared" si="5"/>
        <v>0</v>
      </c>
      <c r="I75" s="119">
        <f t="shared" si="5"/>
        <v>0</v>
      </c>
      <c r="J75" s="120">
        <f t="shared" si="5"/>
        <v>0</v>
      </c>
      <c r="K75" s="151">
        <f t="shared" si="5"/>
        <v>0</v>
      </c>
      <c r="L75" s="119">
        <f t="shared" si="5"/>
        <v>0</v>
      </c>
      <c r="M75" s="119">
        <f t="shared" si="5"/>
        <v>0</v>
      </c>
      <c r="N75" s="152">
        <f t="shared" si="5"/>
        <v>0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182" t="s">
        <v>81</v>
      </c>
      <c r="B76" s="177" t="s">
        <v>101</v>
      </c>
      <c r="C76" s="151">
        <f>-MIN(C69,C75,0)</f>
        <v>0</v>
      </c>
      <c r="D76" s="119">
        <f>-MIN(D69,D75,C83)</f>
        <v>0</v>
      </c>
      <c r="E76" s="119">
        <f>-MIN(E69,E75,D83)</f>
        <v>0</v>
      </c>
      <c r="F76" s="152">
        <f>-MIN(F69,F75,E83)</f>
        <v>0</v>
      </c>
      <c r="G76" s="151">
        <f>-MIN(G69,G75,0)</f>
        <v>0</v>
      </c>
      <c r="H76" s="119">
        <f>-MIN(H69,H75,G83)</f>
        <v>0</v>
      </c>
      <c r="I76" s="119">
        <f>-MIN(I69,I75,H83)</f>
        <v>0</v>
      </c>
      <c r="J76" s="120">
        <f>-MIN(J69,J75,I83)</f>
        <v>0</v>
      </c>
      <c r="K76" s="151">
        <f>-MIN(K69,K75,0)</f>
        <v>0</v>
      </c>
      <c r="L76" s="119">
        <f>-MIN(L69,L75,K83)</f>
        <v>0</v>
      </c>
      <c r="M76" s="119">
        <f>-MIN(M69,M75,L83)</f>
        <v>0</v>
      </c>
      <c r="N76" s="152">
        <f>-MIN(N69,N75,M83)</f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183" t="s">
        <v>82</v>
      </c>
      <c r="B77" s="143" t="s">
        <v>101</v>
      </c>
      <c r="C77" s="160">
        <f>MIN(C75+C76,0)</f>
        <v>0</v>
      </c>
      <c r="D77" s="161">
        <f>MIN(D75+D76,-C84)</f>
        <v>0</v>
      </c>
      <c r="E77" s="161">
        <f>MIN(E75+E76,-D84)</f>
        <v>0</v>
      </c>
      <c r="F77" s="162">
        <f>MIN(F75+F76,-E84)</f>
        <v>0</v>
      </c>
      <c r="G77" s="160">
        <f t="shared" ref="G77:K77" si="6">MIN(G75+G76,0)</f>
        <v>0</v>
      </c>
      <c r="H77" s="161">
        <f>MIN(H75+H76,-G84)</f>
        <v>0</v>
      </c>
      <c r="I77" s="161">
        <f t="shared" ref="I77:J77" si="7">MIN(I75+I76,-H84)</f>
        <v>0</v>
      </c>
      <c r="J77" s="161">
        <f t="shared" si="7"/>
        <v>0</v>
      </c>
      <c r="K77" s="160">
        <f t="shared" si="6"/>
        <v>0</v>
      </c>
      <c r="L77" s="161">
        <f>MIN(L75+L76,-K84)</f>
        <v>0</v>
      </c>
      <c r="M77" s="161">
        <f t="shared" ref="M77" si="8">MIN(M75+M76,-L84)</f>
        <v>0</v>
      </c>
      <c r="N77" s="162">
        <f t="shared" ref="N77" si="9">MIN(N75+N76,-M84)</f>
        <v>0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144" t="s">
        <v>28</v>
      </c>
      <c r="B78" s="146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2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179" t="s">
        <v>29</v>
      </c>
      <c r="B79" s="176" t="s">
        <v>101</v>
      </c>
      <c r="C79" s="164">
        <f t="shared" ref="C79:N79" si="10">C69+C74-(C70-(C80-C77))+C76</f>
        <v>9.6000000000000002E-2</v>
      </c>
      <c r="D79" s="165">
        <f t="shared" si="10"/>
        <v>8.5000000000000006E-2</v>
      </c>
      <c r="E79" s="165">
        <f t="shared" si="10"/>
        <v>0.08</v>
      </c>
      <c r="F79" s="166">
        <f t="shared" si="10"/>
        <v>8.3000000000000004E-2</v>
      </c>
      <c r="G79" s="164">
        <f t="shared" si="10"/>
        <v>9.6000000000000002E-2</v>
      </c>
      <c r="H79" s="165">
        <f t="shared" si="10"/>
        <v>8.5000000000000006E-2</v>
      </c>
      <c r="I79" s="165">
        <f t="shared" si="10"/>
        <v>0.08</v>
      </c>
      <c r="J79" s="167">
        <f t="shared" si="10"/>
        <v>8.3000000000000004E-2</v>
      </c>
      <c r="K79" s="164">
        <f t="shared" si="10"/>
        <v>9.6000000000000002E-2</v>
      </c>
      <c r="L79" s="165">
        <f t="shared" si="10"/>
        <v>8.5000000000000006E-2</v>
      </c>
      <c r="M79" s="165">
        <f t="shared" si="10"/>
        <v>0.08</v>
      </c>
      <c r="N79" s="166">
        <f t="shared" si="10"/>
        <v>8.3000000000000004E-2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180" t="s">
        <v>30</v>
      </c>
      <c r="B80" s="177" t="s">
        <v>101</v>
      </c>
      <c r="C80" s="168">
        <f t="shared" ref="C80:N80" si="11">IF(C70&gt;=0.5*C74,C70-0.5*C74,0)+C77</f>
        <v>0</v>
      </c>
      <c r="D80" s="169">
        <f t="shared" si="11"/>
        <v>0</v>
      </c>
      <c r="E80" s="169">
        <f t="shared" si="11"/>
        <v>0</v>
      </c>
      <c r="F80" s="170">
        <f t="shared" si="11"/>
        <v>0</v>
      </c>
      <c r="G80" s="168">
        <f t="shared" si="11"/>
        <v>0</v>
      </c>
      <c r="H80" s="169">
        <f t="shared" si="11"/>
        <v>0</v>
      </c>
      <c r="I80" s="169">
        <f t="shared" si="11"/>
        <v>0</v>
      </c>
      <c r="J80" s="171">
        <f t="shared" si="11"/>
        <v>0</v>
      </c>
      <c r="K80" s="168">
        <f t="shared" si="11"/>
        <v>0</v>
      </c>
      <c r="L80" s="169">
        <f t="shared" si="11"/>
        <v>0</v>
      </c>
      <c r="M80" s="169">
        <f t="shared" si="11"/>
        <v>0</v>
      </c>
      <c r="N80" s="170">
        <f t="shared" si="11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25">
      <c r="A81" s="184" t="s">
        <v>31</v>
      </c>
      <c r="B81" s="143" t="s">
        <v>101</v>
      </c>
      <c r="C81" s="160">
        <f t="shared" ref="C81:N81" si="12">C71+C74-C77+C76</f>
        <v>0.22800000000000001</v>
      </c>
      <c r="D81" s="161">
        <f t="shared" si="12"/>
        <v>0.224</v>
      </c>
      <c r="E81" s="161">
        <f t="shared" si="12"/>
        <v>0.219</v>
      </c>
      <c r="F81" s="162">
        <f t="shared" si="12"/>
        <v>0.216</v>
      </c>
      <c r="G81" s="160">
        <f t="shared" si="12"/>
        <v>0.22800000000000001</v>
      </c>
      <c r="H81" s="161">
        <f t="shared" si="12"/>
        <v>0.224</v>
      </c>
      <c r="I81" s="161">
        <f t="shared" si="12"/>
        <v>0.219</v>
      </c>
      <c r="J81" s="163">
        <f t="shared" si="12"/>
        <v>0.216</v>
      </c>
      <c r="K81" s="160">
        <f t="shared" si="12"/>
        <v>0.22800000000000001</v>
      </c>
      <c r="L81" s="161">
        <f t="shared" si="12"/>
        <v>0.224</v>
      </c>
      <c r="M81" s="161">
        <f t="shared" si="12"/>
        <v>0.219</v>
      </c>
      <c r="N81" s="162">
        <f t="shared" si="12"/>
        <v>0.216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5">
      <c r="A82" s="144" t="s">
        <v>32</v>
      </c>
      <c r="B82" s="146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22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5">
      <c r="A83" s="179" t="s">
        <v>33</v>
      </c>
      <c r="B83" s="176" t="s">
        <v>101</v>
      </c>
      <c r="C83" s="147">
        <f>C79-C69</f>
        <v>0</v>
      </c>
      <c r="D83" s="148">
        <f t="shared" ref="D83:F85" si="13">D79-D69+C83</f>
        <v>0</v>
      </c>
      <c r="E83" s="148">
        <f t="shared" si="13"/>
        <v>0</v>
      </c>
      <c r="F83" s="149">
        <f t="shared" si="13"/>
        <v>0</v>
      </c>
      <c r="G83" s="147">
        <f>G79-G69</f>
        <v>0</v>
      </c>
      <c r="H83" s="148">
        <f t="shared" ref="H83:J85" si="14">H79-H69+G83</f>
        <v>0</v>
      </c>
      <c r="I83" s="148">
        <f t="shared" si="14"/>
        <v>0</v>
      </c>
      <c r="J83" s="150">
        <f t="shared" si="14"/>
        <v>0</v>
      </c>
      <c r="K83" s="147">
        <f>K79-K69</f>
        <v>0</v>
      </c>
      <c r="L83" s="148">
        <f>L79-L69+K83</f>
        <v>0</v>
      </c>
      <c r="M83" s="148">
        <f t="shared" ref="L83:N85" si="15">M79-M69+L83</f>
        <v>0</v>
      </c>
      <c r="N83" s="149">
        <f t="shared" si="15"/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5">
      <c r="A84" s="180" t="s">
        <v>34</v>
      </c>
      <c r="B84" s="177" t="s">
        <v>101</v>
      </c>
      <c r="C84" s="151">
        <f>C80-C70</f>
        <v>0</v>
      </c>
      <c r="D84" s="119">
        <f t="shared" si="13"/>
        <v>0</v>
      </c>
      <c r="E84" s="119">
        <f t="shared" si="13"/>
        <v>0</v>
      </c>
      <c r="F84" s="152">
        <f t="shared" si="13"/>
        <v>0</v>
      </c>
      <c r="G84" s="151">
        <f>G80-G70</f>
        <v>0</v>
      </c>
      <c r="H84" s="119">
        <f t="shared" si="14"/>
        <v>0</v>
      </c>
      <c r="I84" s="119">
        <f t="shared" si="14"/>
        <v>0</v>
      </c>
      <c r="J84" s="120">
        <f t="shared" si="14"/>
        <v>0</v>
      </c>
      <c r="K84" s="151">
        <f>K80-K70</f>
        <v>0</v>
      </c>
      <c r="L84" s="119">
        <f t="shared" si="15"/>
        <v>0</v>
      </c>
      <c r="M84" s="119">
        <f t="shared" si="15"/>
        <v>0</v>
      </c>
      <c r="N84" s="152">
        <f t="shared" si="15"/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ht="15.75" thickBot="1" x14ac:dyDescent="0.3">
      <c r="A85" s="185" t="s">
        <v>35</v>
      </c>
      <c r="B85" s="48" t="s">
        <v>101</v>
      </c>
      <c r="C85" s="172">
        <f>C81-C71</f>
        <v>0</v>
      </c>
      <c r="D85" s="173">
        <f t="shared" si="13"/>
        <v>0</v>
      </c>
      <c r="E85" s="173">
        <f t="shared" si="13"/>
        <v>0</v>
      </c>
      <c r="F85" s="174">
        <f t="shared" si="13"/>
        <v>0</v>
      </c>
      <c r="G85" s="172">
        <f>G81-G71+F85</f>
        <v>0</v>
      </c>
      <c r="H85" s="173">
        <f t="shared" si="14"/>
        <v>0</v>
      </c>
      <c r="I85" s="173">
        <f t="shared" si="14"/>
        <v>0</v>
      </c>
      <c r="J85" s="175">
        <f t="shared" si="14"/>
        <v>0</v>
      </c>
      <c r="K85" s="172">
        <f>K81-K71+J85</f>
        <v>0</v>
      </c>
      <c r="L85" s="173">
        <f t="shared" si="15"/>
        <v>0</v>
      </c>
      <c r="M85" s="173">
        <f t="shared" si="15"/>
        <v>0</v>
      </c>
      <c r="N85" s="174">
        <f t="shared" si="15"/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444" spans="2:52" x14ac:dyDescent="0.25">
      <c r="B444"/>
      <c r="C444" s="4">
        <v>20</v>
      </c>
      <c r="D444" s="4">
        <v>21</v>
      </c>
      <c r="E444" s="4">
        <v>22</v>
      </c>
      <c r="F444" s="4">
        <v>23</v>
      </c>
      <c r="G444" s="4">
        <v>24</v>
      </c>
      <c r="H444" s="4">
        <v>25</v>
      </c>
      <c r="I444" s="4">
        <v>26</v>
      </c>
      <c r="J444" s="4">
        <v>27</v>
      </c>
      <c r="K444" s="4">
        <v>28</v>
      </c>
      <c r="L444" s="4">
        <v>29</v>
      </c>
      <c r="M444" s="4">
        <v>30</v>
      </c>
      <c r="N444" s="4">
        <v>31</v>
      </c>
      <c r="O444" s="4">
        <v>32</v>
      </c>
      <c r="P444" s="4">
        <v>33</v>
      </c>
      <c r="Q444" s="4">
        <v>34</v>
      </c>
      <c r="R444" s="4">
        <v>35</v>
      </c>
      <c r="S444" s="4">
        <v>36</v>
      </c>
      <c r="T444" s="4">
        <v>37</v>
      </c>
      <c r="U444" s="4">
        <v>38</v>
      </c>
      <c r="V444" s="4">
        <v>39</v>
      </c>
      <c r="W444" s="4">
        <v>40</v>
      </c>
      <c r="X444" s="4">
        <v>41</v>
      </c>
      <c r="AY444" t="s">
        <v>57</v>
      </c>
      <c r="AZ444" t="s">
        <v>55</v>
      </c>
    </row>
  </sheetData>
  <mergeCells count="34">
    <mergeCell ref="H46:H47"/>
    <mergeCell ref="H38:H39"/>
    <mergeCell ref="A46:A47"/>
    <mergeCell ref="B46:B47"/>
    <mergeCell ref="C46:C47"/>
    <mergeCell ref="D46:G46"/>
    <mergeCell ref="A38:A39"/>
    <mergeCell ref="B38:B39"/>
    <mergeCell ref="C38:C39"/>
    <mergeCell ref="D38:G38"/>
    <mergeCell ref="A66:A67"/>
    <mergeCell ref="B66:B67"/>
    <mergeCell ref="C66:F66"/>
    <mergeCell ref="G66:J66"/>
    <mergeCell ref="AH38:AK38"/>
    <mergeCell ref="X38:AA38"/>
    <mergeCell ref="AB38:AB39"/>
    <mergeCell ref="AC38:AF38"/>
    <mergeCell ref="AG38:AG39"/>
    <mergeCell ref="W38:W39"/>
    <mergeCell ref="I38:L38"/>
    <mergeCell ref="M38:M39"/>
    <mergeCell ref="K66:N66"/>
    <mergeCell ref="N38:Q38"/>
    <mergeCell ref="R38:R39"/>
    <mergeCell ref="S38:V38"/>
    <mergeCell ref="M17:M18"/>
    <mergeCell ref="N17:Q17"/>
    <mergeCell ref="I17:L17"/>
    <mergeCell ref="H17:H18"/>
    <mergeCell ref="A17:A18"/>
    <mergeCell ref="B17:B18"/>
    <mergeCell ref="D17:G17"/>
    <mergeCell ref="C17:C18"/>
  </mergeCells>
  <phoneticPr fontId="19" type="noConversion"/>
  <dataValidations count="2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D62:G62 I40:L40 D11:G11 S40:V40 N11:Q11 I11:L11 D13:G13 D20:G28 I13:L13 N13:Q13 N20:Q28 D19 D40:G40 N40:Q40 C56:H56 I20:L28 D48:G50">
      <formula1>-1000000000</formula1>
    </dataValidation>
  </dataValidations>
  <pageMargins left="0.7" right="0.7" top="0.75" bottom="0.75" header="0.51180555555555496" footer="0.51180555555555496"/>
  <pageSetup paperSize="9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V166"/>
  <sheetViews>
    <sheetView showGridLines="0" tabSelected="1" zoomScaleNormal="100" workbookViewId="0">
      <pane xSplit="2" ySplit="8" topLeftCell="K27" activePane="bottomRight" state="frozen"/>
      <selection pane="topRight" activeCell="C1" sqref="C1"/>
      <selection pane="bottomLeft" activeCell="A9" sqref="A9"/>
      <selection pane="bottomRight" activeCell="G17" sqref="G17"/>
    </sheetView>
  </sheetViews>
  <sheetFormatPr defaultColWidth="8.5703125" defaultRowHeight="15" outlineLevelRow="1" x14ac:dyDescent="0.25"/>
  <cols>
    <col min="1" max="1" width="60.85546875" style="11" customWidth="1"/>
    <col min="2" max="2" width="10.5703125" style="82" customWidth="1"/>
    <col min="3" max="17" width="13.85546875" style="19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x14ac:dyDescent="0.25">
      <c r="A1" s="15"/>
      <c r="B1" s="81" t="s">
        <v>10</v>
      </c>
      <c r="R1" s="4"/>
    </row>
    <row r="2" spans="1:256" ht="15" customHeight="1" x14ac:dyDescent="0.25">
      <c r="A2" s="14" t="s">
        <v>9</v>
      </c>
      <c r="B2" s="356"/>
    </row>
    <row r="3" spans="1:256" ht="15" customHeight="1" x14ac:dyDescent="0.25">
      <c r="A3" s="14" t="s">
        <v>53</v>
      </c>
      <c r="B3" s="234"/>
    </row>
    <row r="4" spans="1:256" ht="15" customHeight="1" x14ac:dyDescent="0.25">
      <c r="A4" s="14" t="s">
        <v>51</v>
      </c>
      <c r="B4" s="39"/>
    </row>
    <row r="5" spans="1:256" ht="15" customHeight="1" x14ac:dyDescent="0.25">
      <c r="A5" s="14" t="s">
        <v>52</v>
      </c>
      <c r="B5" s="69"/>
      <c r="E5" s="35"/>
      <c r="F5" s="35"/>
      <c r="L5" s="35"/>
    </row>
    <row r="6" spans="1:256" ht="15" customHeight="1" thickBot="1" x14ac:dyDescent="0.3">
      <c r="R6" s="13"/>
      <c r="S6" s="13"/>
      <c r="T6" s="13"/>
      <c r="U6" s="13"/>
    </row>
    <row r="7" spans="1:256" ht="15" customHeight="1" x14ac:dyDescent="0.25">
      <c r="A7" s="473" t="s">
        <v>15</v>
      </c>
      <c r="B7" s="443" t="s">
        <v>36</v>
      </c>
      <c r="C7" s="468" t="str">
        <f>YEAR(Date)&amp;" год"</f>
        <v>2020 год</v>
      </c>
      <c r="D7" s="469"/>
      <c r="E7" s="469"/>
      <c r="F7" s="470"/>
      <c r="G7" s="471" t="str">
        <f>C7</f>
        <v>2020 год</v>
      </c>
      <c r="H7" s="468" t="str">
        <f>(LEFT(C7,4)+1)&amp;" год"</f>
        <v>2021 год</v>
      </c>
      <c r="I7" s="469"/>
      <c r="J7" s="469"/>
      <c r="K7" s="470"/>
      <c r="L7" s="471" t="str">
        <f>H7</f>
        <v>2021 год</v>
      </c>
      <c r="M7" s="468" t="str">
        <f>(LEFT(H7,4)+1)&amp;" год"</f>
        <v>2022 год</v>
      </c>
      <c r="N7" s="469"/>
      <c r="O7" s="469"/>
      <c r="P7" s="470"/>
      <c r="Q7" s="471" t="str">
        <f>M7</f>
        <v>2022 год</v>
      </c>
      <c r="R7" s="13"/>
      <c r="S7" s="13"/>
      <c r="T7" s="13"/>
      <c r="U7" s="13"/>
    </row>
    <row r="8" spans="1:256" ht="15" customHeight="1" thickBot="1" x14ac:dyDescent="0.3">
      <c r="A8" s="474"/>
      <c r="B8" s="444"/>
      <c r="C8" s="307" t="s">
        <v>0</v>
      </c>
      <c r="D8" s="308" t="s">
        <v>1</v>
      </c>
      <c r="E8" s="308" t="s">
        <v>2</v>
      </c>
      <c r="F8" s="309" t="s">
        <v>3</v>
      </c>
      <c r="G8" s="472"/>
      <c r="H8" s="307" t="s">
        <v>0</v>
      </c>
      <c r="I8" s="308" t="s">
        <v>1</v>
      </c>
      <c r="J8" s="308" t="s">
        <v>2</v>
      </c>
      <c r="K8" s="309" t="s">
        <v>3</v>
      </c>
      <c r="L8" s="472"/>
      <c r="M8" s="307" t="s">
        <v>0</v>
      </c>
      <c r="N8" s="308" t="s">
        <v>1</v>
      </c>
      <c r="O8" s="308" t="s">
        <v>2</v>
      </c>
      <c r="P8" s="309" t="s">
        <v>3</v>
      </c>
      <c r="Q8" s="472"/>
      <c r="R8" s="13"/>
      <c r="S8" s="13"/>
      <c r="T8" s="13"/>
      <c r="U8" s="13"/>
    </row>
    <row r="9" spans="1:256" s="10" customFormat="1" ht="15" customHeight="1" x14ac:dyDescent="0.25">
      <c r="A9" s="310" t="s">
        <v>38</v>
      </c>
      <c r="B9" s="311" t="s">
        <v>101</v>
      </c>
      <c r="C9" s="312">
        <f>ROUND(G9,3)</f>
        <v>0.216</v>
      </c>
      <c r="D9" s="313">
        <f>ROUND(C36,3)</f>
        <v>0.22800000000000001</v>
      </c>
      <c r="E9" s="313">
        <f>ROUND(D36,3)</f>
        <v>0.224</v>
      </c>
      <c r="F9" s="314">
        <f>ROUND(E36,3)</f>
        <v>0.219</v>
      </c>
      <c r="G9" s="315">
        <f>ROUND('1. Статистика'!AK40,3)</f>
        <v>0.216</v>
      </c>
      <c r="H9" s="312">
        <f>ROUND(L9,3)</f>
        <v>0.216</v>
      </c>
      <c r="I9" s="313">
        <f>ROUND(H36,3)</f>
        <v>0.22800000000000001</v>
      </c>
      <c r="J9" s="313">
        <f>ROUND(I36,3)</f>
        <v>0.224</v>
      </c>
      <c r="K9" s="314">
        <f>ROUND(J36,3)</f>
        <v>0.219</v>
      </c>
      <c r="L9" s="315">
        <f>ROUND(F36,3)</f>
        <v>0.216</v>
      </c>
      <c r="M9" s="312">
        <f>ROUND(Q9,3)</f>
        <v>0.216</v>
      </c>
      <c r="N9" s="313">
        <f>ROUND(M36,3)</f>
        <v>0.22800000000000001</v>
      </c>
      <c r="O9" s="313">
        <f>ROUND(N36,3)</f>
        <v>0.224</v>
      </c>
      <c r="P9" s="314">
        <f>ROUND(O36,3)</f>
        <v>0.219</v>
      </c>
      <c r="Q9" s="315">
        <f>ROUND(K36,3)</f>
        <v>0.216</v>
      </c>
      <c r="R9" s="13"/>
      <c r="S9" s="13"/>
      <c r="T9" s="13"/>
      <c r="U9" s="13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</row>
    <row r="10" spans="1:256" s="13" customFormat="1" ht="15" customHeight="1" x14ac:dyDescent="0.25">
      <c r="A10" s="316" t="s">
        <v>116</v>
      </c>
      <c r="B10" s="317" t="s">
        <v>101</v>
      </c>
      <c r="C10" s="318">
        <f>ROUND(C11+C12-C13+C14,3)</f>
        <v>0</v>
      </c>
      <c r="D10" s="318">
        <f>ROUND(D11+D12-D13+D14,3)</f>
        <v>0</v>
      </c>
      <c r="E10" s="318">
        <f>ROUND(E11+E12-E13+E14,3)</f>
        <v>0</v>
      </c>
      <c r="F10" s="318">
        <f>ROUND(F11+F12-F13+F14,3)</f>
        <v>0</v>
      </c>
      <c r="G10" s="319">
        <f>ROUND(SUM(C10:F10),3)</f>
        <v>0</v>
      </c>
      <c r="H10" s="318">
        <f>ROUND(H11+H12-H13+H14,3)</f>
        <v>0</v>
      </c>
      <c r="I10" s="318">
        <f>ROUND(I11+I12-I13+I14,3)</f>
        <v>0</v>
      </c>
      <c r="J10" s="318">
        <f>ROUND(J11+J12-J13+J14,3)</f>
        <v>0</v>
      </c>
      <c r="K10" s="318">
        <f>ROUND(K11+K12-K13+K14,3)</f>
        <v>0</v>
      </c>
      <c r="L10" s="319">
        <f>ROUND(SUM(H10:K10),3)</f>
        <v>0</v>
      </c>
      <c r="M10" s="318">
        <f>ROUND(M11+M12-M13+M14,3)</f>
        <v>0</v>
      </c>
      <c r="N10" s="318">
        <f>ROUND(N11+N12-N13+N14,3)</f>
        <v>0</v>
      </c>
      <c r="O10" s="318">
        <f>ROUND(O11+O12-O13+O14,3)</f>
        <v>0</v>
      </c>
      <c r="P10" s="320">
        <f>ROUND(P11+P12-P13+P14,3)</f>
        <v>0</v>
      </c>
      <c r="Q10" s="319">
        <f>ROUND(SUM(M10:P10),3)</f>
        <v>0</v>
      </c>
    </row>
    <row r="11" spans="1:256" s="62" customFormat="1" outlineLevel="1" x14ac:dyDescent="0.25">
      <c r="A11" s="321" t="s">
        <v>95</v>
      </c>
      <c r="B11" s="322" t="s">
        <v>101</v>
      </c>
      <c r="C11" s="323">
        <f>ROUND('1. Статистика'!N20,3)</f>
        <v>0</v>
      </c>
      <c r="D11" s="323">
        <f>ROUND('1. Статистика'!O20,3)</f>
        <v>0</v>
      </c>
      <c r="E11" s="323">
        <f>ROUND('1. Статистика'!P20,3)</f>
        <v>0</v>
      </c>
      <c r="F11" s="323">
        <f>ROUND('1. Статистика'!Q20,3)</f>
        <v>0</v>
      </c>
      <c r="G11" s="324">
        <f>ROUND(SUM(C11:F11),3)</f>
        <v>0</v>
      </c>
      <c r="H11" s="323">
        <f>ROUND(C10,3)</f>
        <v>0</v>
      </c>
      <c r="I11" s="323">
        <f>ROUND(D10,3)</f>
        <v>0</v>
      </c>
      <c r="J11" s="323">
        <f>ROUND(E10,3)</f>
        <v>0</v>
      </c>
      <c r="K11" s="323">
        <f>ROUND(F10,3)</f>
        <v>0</v>
      </c>
      <c r="L11" s="324">
        <f>ROUND(SUM(H11:K11),3)</f>
        <v>0</v>
      </c>
      <c r="M11" s="323">
        <f>ROUND(H10,3)</f>
        <v>0</v>
      </c>
      <c r="N11" s="323">
        <f>ROUND(I10,3)</f>
        <v>0</v>
      </c>
      <c r="O11" s="323">
        <f>ROUND(J10,3)</f>
        <v>0</v>
      </c>
      <c r="P11" s="325">
        <f>ROUND(K10,3)</f>
        <v>0</v>
      </c>
      <c r="Q11" s="324">
        <f>ROUND(SUM(M11:P11),3)</f>
        <v>0</v>
      </c>
    </row>
    <row r="12" spans="1:256" s="62" customFormat="1" ht="30" outlineLevel="1" x14ac:dyDescent="0.25">
      <c r="A12" s="321" t="s">
        <v>96</v>
      </c>
      <c r="B12" s="322" t="s">
        <v>101</v>
      </c>
      <c r="C12" s="323">
        <f>ROUND('1. Статистика'!D11,3)</f>
        <v>0</v>
      </c>
      <c r="D12" s="326">
        <f>ROUND('1. Статистика'!E11,3)</f>
        <v>0</v>
      </c>
      <c r="E12" s="326">
        <f>ROUND('1. Статистика'!F11,3)</f>
        <v>0</v>
      </c>
      <c r="F12" s="327">
        <f>ROUND('1. Статистика'!G11,3)</f>
        <v>0</v>
      </c>
      <c r="G12" s="324">
        <f>ROUND(SUM(C12:F12),3)</f>
        <v>0</v>
      </c>
      <c r="H12" s="323">
        <f>ROUND('1. Статистика'!I11,3)</f>
        <v>0</v>
      </c>
      <c r="I12" s="326">
        <f>ROUND('1. Статистика'!J11,3)</f>
        <v>0</v>
      </c>
      <c r="J12" s="326">
        <f>ROUND('1. Статистика'!K11,3)</f>
        <v>0</v>
      </c>
      <c r="K12" s="327">
        <f>ROUND('1. Статистика'!L11,3)</f>
        <v>0</v>
      </c>
      <c r="L12" s="324">
        <f>ROUND(SUM(H12:K12),3)</f>
        <v>0</v>
      </c>
      <c r="M12" s="323">
        <f>ROUND('1. Статистика'!N11,3)</f>
        <v>0</v>
      </c>
      <c r="N12" s="326">
        <f>ROUND('1. Статистика'!O11,3)</f>
        <v>0</v>
      </c>
      <c r="O12" s="326">
        <f>ROUND('1. Статистика'!P11,3)</f>
        <v>0</v>
      </c>
      <c r="P12" s="327">
        <f>ROUND('1. Статистика'!Q11,3)</f>
        <v>0</v>
      </c>
      <c r="Q12" s="324">
        <f>ROUND(SUM(M12:P12),3)</f>
        <v>0</v>
      </c>
    </row>
    <row r="13" spans="1:256" s="62" customFormat="1" ht="30" outlineLevel="1" x14ac:dyDescent="0.25">
      <c r="A13" s="321" t="s">
        <v>97</v>
      </c>
      <c r="B13" s="322" t="s">
        <v>101</v>
      </c>
      <c r="C13" s="328"/>
      <c r="D13" s="328"/>
      <c r="E13" s="328"/>
      <c r="F13" s="328"/>
      <c r="G13" s="324">
        <f>ROUND(SUM(C13:F13),3)</f>
        <v>0</v>
      </c>
      <c r="H13" s="328"/>
      <c r="I13" s="328"/>
      <c r="J13" s="328"/>
      <c r="K13" s="328"/>
      <c r="L13" s="324">
        <f>ROUND(SUM(H13:K13),3)</f>
        <v>0</v>
      </c>
      <c r="M13" s="328"/>
      <c r="N13" s="328"/>
      <c r="O13" s="328"/>
      <c r="P13" s="328"/>
      <c r="Q13" s="324">
        <f>ROUND(SUM(M13:P13),3)</f>
        <v>0</v>
      </c>
    </row>
    <row r="14" spans="1:256" s="62" customFormat="1" ht="30" outlineLevel="1" x14ac:dyDescent="0.25">
      <c r="A14" s="321" t="s">
        <v>98</v>
      </c>
      <c r="B14" s="322" t="s">
        <v>101</v>
      </c>
      <c r="C14" s="329"/>
      <c r="D14" s="329"/>
      <c r="E14" s="329"/>
      <c r="F14" s="329"/>
      <c r="G14" s="324">
        <f>ROUND(SUM(C14:F14),3)</f>
        <v>0</v>
      </c>
      <c r="H14" s="329"/>
      <c r="I14" s="329"/>
      <c r="J14" s="329"/>
      <c r="K14" s="329"/>
      <c r="L14" s="324">
        <f>ROUND(SUM(H14:K14),3)</f>
        <v>0</v>
      </c>
      <c r="M14" s="329"/>
      <c r="N14" s="329"/>
      <c r="O14" s="329"/>
      <c r="P14" s="329"/>
      <c r="Q14" s="324">
        <f>ROUND(SUM(M14:P14),3)</f>
        <v>0</v>
      </c>
    </row>
    <row r="15" spans="1:256" s="13" customFormat="1" ht="15" customHeight="1" x14ac:dyDescent="0.25">
      <c r="A15" s="316" t="s">
        <v>39</v>
      </c>
      <c r="B15" s="317" t="s">
        <v>101</v>
      </c>
      <c r="C15" s="318">
        <f>ROUND(C16+C17,3)</f>
        <v>9.6000000000000002E-2</v>
      </c>
      <c r="D15" s="330">
        <f>ROUND(D16+D17,3)</f>
        <v>8.5000000000000006E-2</v>
      </c>
      <c r="E15" s="330">
        <f>ROUND(E16+E17,3)</f>
        <v>0.08</v>
      </c>
      <c r="F15" s="331">
        <f>ROUND(F16+F17,3)</f>
        <v>8.3000000000000004E-2</v>
      </c>
      <c r="G15" s="319">
        <f>ROUND(SUM(G16:G17),3)</f>
        <v>0.34399999999999997</v>
      </c>
      <c r="H15" s="318">
        <f>ROUND(H16+H17,3)</f>
        <v>9.6000000000000002E-2</v>
      </c>
      <c r="I15" s="330">
        <f>ROUND(I16+I17,3)</f>
        <v>8.5000000000000006E-2</v>
      </c>
      <c r="J15" s="330">
        <f>ROUND(J16+J17,3)</f>
        <v>0.08</v>
      </c>
      <c r="K15" s="331">
        <f>ROUND(K16+K17,3)</f>
        <v>8.3000000000000004E-2</v>
      </c>
      <c r="L15" s="319">
        <f>ROUND(SUM(L16:L17),3)</f>
        <v>0.34399999999999997</v>
      </c>
      <c r="M15" s="318">
        <f>ROUND(M16+M17,3)</f>
        <v>9.6000000000000002E-2</v>
      </c>
      <c r="N15" s="330">
        <f>ROUND(N16+N17,3)</f>
        <v>8.5000000000000006E-2</v>
      </c>
      <c r="O15" s="330">
        <f>ROUND(O16+O17,3)</f>
        <v>0.08</v>
      </c>
      <c r="P15" s="331">
        <f>ROUND(P16+P17,3)</f>
        <v>8.3000000000000004E-2</v>
      </c>
      <c r="Q15" s="319">
        <f>ROUND(SUM(Q16:Q17),3)</f>
        <v>0.34399999999999997</v>
      </c>
      <c r="R15" s="62"/>
      <c r="S15" s="62"/>
      <c r="T15" s="62"/>
      <c r="U15" s="62"/>
      <c r="V15" s="62"/>
    </row>
    <row r="16" spans="1:256" s="12" customFormat="1" ht="14.45" customHeight="1" outlineLevel="1" x14ac:dyDescent="0.25">
      <c r="A16" s="332" t="s">
        <v>40</v>
      </c>
      <c r="B16" s="322" t="s">
        <v>101</v>
      </c>
      <c r="C16" s="323">
        <f>ROUND('1. Статистика'!N21,3)</f>
        <v>8.5999999999999993E-2</v>
      </c>
      <c r="D16" s="326">
        <f>ROUND('1. Статистика'!O21,3)</f>
        <v>8.6999999999999994E-2</v>
      </c>
      <c r="E16" s="326">
        <f>ROUND('1. Статистика'!P21,3)</f>
        <v>8.1000000000000003E-2</v>
      </c>
      <c r="F16" s="327">
        <f>ROUND('1. Статистика'!Q21,3)</f>
        <v>8.4000000000000005E-2</v>
      </c>
      <c r="G16" s="324">
        <f>ROUND(SUM(C16:F16),3)</f>
        <v>0.33800000000000002</v>
      </c>
      <c r="H16" s="323">
        <f>ROUND(C15,3)</f>
        <v>9.6000000000000002E-2</v>
      </c>
      <c r="I16" s="323">
        <f>ROUND(D15,3)</f>
        <v>8.5000000000000006E-2</v>
      </c>
      <c r="J16" s="323">
        <f>ROUND(E15,3)</f>
        <v>0.08</v>
      </c>
      <c r="K16" s="323">
        <f>ROUND(F15,3)</f>
        <v>8.3000000000000004E-2</v>
      </c>
      <c r="L16" s="324">
        <f>ROUND(SUM(H16:K16),3)</f>
        <v>0.34399999999999997</v>
      </c>
      <c r="M16" s="323">
        <f>ROUND(H15,3)</f>
        <v>9.6000000000000002E-2</v>
      </c>
      <c r="N16" s="326">
        <f>ROUND(I15,3)</f>
        <v>8.5000000000000006E-2</v>
      </c>
      <c r="O16" s="326">
        <f>ROUND(J15,3)</f>
        <v>0.08</v>
      </c>
      <c r="P16" s="327">
        <f>ROUND(K15,3)</f>
        <v>8.3000000000000004E-2</v>
      </c>
      <c r="Q16" s="324">
        <f>ROUND(SUM(M16:P16),3)</f>
        <v>0.34399999999999997</v>
      </c>
      <c r="R16" s="62"/>
      <c r="S16" s="62"/>
      <c r="T16" s="62"/>
      <c r="U16" s="62"/>
      <c r="V16" s="62"/>
    </row>
    <row r="17" spans="1:22" s="12" customFormat="1" ht="14.45" customHeight="1" outlineLevel="1" x14ac:dyDescent="0.25">
      <c r="A17" s="332" t="s">
        <v>41</v>
      </c>
      <c r="B17" s="322" t="s">
        <v>101</v>
      </c>
      <c r="C17" s="329">
        <v>0.01</v>
      </c>
      <c r="D17" s="329">
        <v>-2E-3</v>
      </c>
      <c r="E17" s="329">
        <v>-1E-3</v>
      </c>
      <c r="F17" s="329">
        <v>-1E-3</v>
      </c>
      <c r="G17" s="324">
        <f>ROUND(SUM(C17:F17),3)</f>
        <v>6.0000000000000001E-3</v>
      </c>
      <c r="H17" s="329"/>
      <c r="I17" s="329"/>
      <c r="J17" s="329"/>
      <c r="K17" s="329"/>
      <c r="L17" s="324">
        <f>ROUND(SUM(H17:K17),3)</f>
        <v>0</v>
      </c>
      <c r="M17" s="329"/>
      <c r="N17" s="329"/>
      <c r="O17" s="329"/>
      <c r="P17" s="329"/>
      <c r="Q17" s="324">
        <f>ROUND(SUM(M17:P17),3)</f>
        <v>0</v>
      </c>
      <c r="R17" s="62"/>
      <c r="S17" s="62"/>
      <c r="T17" s="62"/>
      <c r="U17" s="62"/>
      <c r="V17" s="62"/>
    </row>
    <row r="18" spans="1:22" ht="15" customHeight="1" x14ac:dyDescent="0.25">
      <c r="A18" s="333" t="s">
        <v>37</v>
      </c>
      <c r="B18" s="334" t="s">
        <v>101</v>
      </c>
      <c r="C18" s="335">
        <f t="shared" ref="C18:Q18" si="0">ROUND(C9+C10+C15,3)</f>
        <v>0.312</v>
      </c>
      <c r="D18" s="336">
        <f t="shared" si="0"/>
        <v>0.313</v>
      </c>
      <c r="E18" s="336">
        <f t="shared" si="0"/>
        <v>0.30399999999999999</v>
      </c>
      <c r="F18" s="337">
        <f t="shared" si="0"/>
        <v>0.30199999999999999</v>
      </c>
      <c r="G18" s="338">
        <f t="shared" si="0"/>
        <v>0.56000000000000005</v>
      </c>
      <c r="H18" s="335">
        <f t="shared" si="0"/>
        <v>0.312</v>
      </c>
      <c r="I18" s="336">
        <f t="shared" si="0"/>
        <v>0.313</v>
      </c>
      <c r="J18" s="336">
        <f t="shared" si="0"/>
        <v>0.30399999999999999</v>
      </c>
      <c r="K18" s="337">
        <f t="shared" si="0"/>
        <v>0.30199999999999999</v>
      </c>
      <c r="L18" s="338">
        <f t="shared" si="0"/>
        <v>0.56000000000000005</v>
      </c>
      <c r="M18" s="335">
        <f t="shared" si="0"/>
        <v>0.312</v>
      </c>
      <c r="N18" s="336">
        <f t="shared" si="0"/>
        <v>0.313</v>
      </c>
      <c r="O18" s="336">
        <f t="shared" si="0"/>
        <v>0.30399999999999999</v>
      </c>
      <c r="P18" s="337">
        <f t="shared" si="0"/>
        <v>0.30199999999999999</v>
      </c>
      <c r="Q18" s="338">
        <f t="shared" si="0"/>
        <v>0.56000000000000005</v>
      </c>
      <c r="R18" s="62"/>
      <c r="S18" s="62"/>
      <c r="T18" s="62"/>
      <c r="U18" s="62"/>
      <c r="V18" s="62"/>
    </row>
    <row r="19" spans="1:22" s="13" customFormat="1" ht="17.25" customHeight="1" x14ac:dyDescent="0.25">
      <c r="A19" s="339" t="s">
        <v>87</v>
      </c>
      <c r="B19" s="340" t="s">
        <v>101</v>
      </c>
      <c r="C19" s="318">
        <f>ROUND(C20+C21,3)</f>
        <v>6.9000000000000006E-2</v>
      </c>
      <c r="D19" s="318">
        <f>ROUND(D20+D21,3)</f>
        <v>7.2999999999999995E-2</v>
      </c>
      <c r="E19" s="318">
        <f>ROUND(E20+E21,3)</f>
        <v>6.8000000000000005E-2</v>
      </c>
      <c r="F19" s="318">
        <f>ROUND(F20+F21,3)</f>
        <v>6.9000000000000006E-2</v>
      </c>
      <c r="G19" s="319">
        <f t="shared" ref="G19:G26" si="1">ROUND(SUM(C19:F19),3)</f>
        <v>0.27900000000000003</v>
      </c>
      <c r="H19" s="318">
        <f>ROUND(H20+H21,3)</f>
        <v>6.9000000000000006E-2</v>
      </c>
      <c r="I19" s="318">
        <f>ROUND(I20+I21,3)</f>
        <v>7.2999999999999995E-2</v>
      </c>
      <c r="J19" s="318">
        <f>ROUND(J20+J21,3)</f>
        <v>6.8000000000000005E-2</v>
      </c>
      <c r="K19" s="318">
        <f>ROUND(K20+K21,3)</f>
        <v>6.9000000000000006E-2</v>
      </c>
      <c r="L19" s="319">
        <f t="shared" ref="L19:L26" si="2">ROUND(SUM(H19:K19),3)</f>
        <v>0.27900000000000003</v>
      </c>
      <c r="M19" s="318">
        <f>ROUND(M20+M21,3)</f>
        <v>6.9000000000000006E-2</v>
      </c>
      <c r="N19" s="318">
        <f>ROUND(N20+N21,3)</f>
        <v>7.2999999999999995E-2</v>
      </c>
      <c r="O19" s="318">
        <f>ROUND(O20+O21,3)</f>
        <v>6.8000000000000005E-2</v>
      </c>
      <c r="P19" s="320">
        <f>ROUND(P20+P21,3)</f>
        <v>6.9000000000000006E-2</v>
      </c>
      <c r="Q19" s="319">
        <f t="shared" ref="Q19:Q26" si="3">ROUND(SUM(M19:P19),3)</f>
        <v>0.27900000000000003</v>
      </c>
      <c r="R19" s="62"/>
      <c r="S19" s="62"/>
      <c r="T19" s="62"/>
      <c r="U19" s="62"/>
      <c r="V19" s="62"/>
    </row>
    <row r="20" spans="1:22" s="62" customFormat="1" ht="14.45" customHeight="1" outlineLevel="1" x14ac:dyDescent="0.25">
      <c r="A20" s="321" t="s">
        <v>91</v>
      </c>
      <c r="B20" s="322" t="s">
        <v>101</v>
      </c>
      <c r="C20" s="323">
        <f>ROUND('1. Статистика'!N23,3)</f>
        <v>6.9000000000000006E-2</v>
      </c>
      <c r="D20" s="326">
        <f>ROUND('1. Статистика'!O23,3)</f>
        <v>7.2999999999999995E-2</v>
      </c>
      <c r="E20" s="326">
        <f>ROUND('1. Статистика'!P23,3)</f>
        <v>6.8000000000000005E-2</v>
      </c>
      <c r="F20" s="327">
        <f>ROUND('1. Статистика'!Q23,3)</f>
        <v>6.9000000000000006E-2</v>
      </c>
      <c r="G20" s="324">
        <f t="shared" si="1"/>
        <v>0.27900000000000003</v>
      </c>
      <c r="H20" s="323">
        <f>ROUND(C19,3)</f>
        <v>6.9000000000000006E-2</v>
      </c>
      <c r="I20" s="326">
        <f>ROUND(D19,3)</f>
        <v>7.2999999999999995E-2</v>
      </c>
      <c r="J20" s="326">
        <f>ROUND(E19,3)</f>
        <v>6.8000000000000005E-2</v>
      </c>
      <c r="K20" s="327">
        <f>ROUND(F19,3)</f>
        <v>6.9000000000000006E-2</v>
      </c>
      <c r="L20" s="324">
        <f t="shared" si="2"/>
        <v>0.27900000000000003</v>
      </c>
      <c r="M20" s="323">
        <f>ROUND(H19,3)</f>
        <v>6.9000000000000006E-2</v>
      </c>
      <c r="N20" s="326">
        <f>ROUND(I19,3)</f>
        <v>7.2999999999999995E-2</v>
      </c>
      <c r="O20" s="326">
        <f>ROUND(J19,3)</f>
        <v>6.8000000000000005E-2</v>
      </c>
      <c r="P20" s="327">
        <f>ROUND(K19,3)</f>
        <v>6.9000000000000006E-2</v>
      </c>
      <c r="Q20" s="324">
        <f t="shared" si="3"/>
        <v>0.27900000000000003</v>
      </c>
    </row>
    <row r="21" spans="1:22" s="62" customFormat="1" ht="30" outlineLevel="1" x14ac:dyDescent="0.25">
      <c r="A21" s="321" t="s">
        <v>94</v>
      </c>
      <c r="B21" s="322" t="s">
        <v>101</v>
      </c>
      <c r="C21" s="329"/>
      <c r="D21" s="341"/>
      <c r="E21" s="341"/>
      <c r="F21" s="341"/>
      <c r="G21" s="324">
        <f t="shared" si="1"/>
        <v>0</v>
      </c>
      <c r="H21" s="329"/>
      <c r="I21" s="341"/>
      <c r="J21" s="341"/>
      <c r="K21" s="341"/>
      <c r="L21" s="324">
        <f t="shared" si="2"/>
        <v>0</v>
      </c>
      <c r="M21" s="329"/>
      <c r="N21" s="341"/>
      <c r="O21" s="341"/>
      <c r="P21" s="341"/>
      <c r="Q21" s="324">
        <f t="shared" si="3"/>
        <v>0</v>
      </c>
    </row>
    <row r="22" spans="1:22" s="36" customFormat="1" x14ac:dyDescent="0.25">
      <c r="A22" s="342" t="s">
        <v>93</v>
      </c>
      <c r="B22" s="340" t="s">
        <v>101</v>
      </c>
      <c r="C22" s="318">
        <f>ROUND(C23+C24-C25+C26,3)</f>
        <v>1.4E-2</v>
      </c>
      <c r="D22" s="330">
        <f>ROUND(D23+D24-D25+D26,3)</f>
        <v>1.4E-2</v>
      </c>
      <c r="E22" s="330">
        <f>ROUND(E23+E24-E25+E26,3)</f>
        <v>1.6E-2</v>
      </c>
      <c r="F22" s="331">
        <f>ROUND(F23+F24-F25+F26,3)</f>
        <v>1.6E-2</v>
      </c>
      <c r="G22" s="319">
        <f t="shared" si="1"/>
        <v>0.06</v>
      </c>
      <c r="H22" s="318">
        <f>ROUND(H23+H24-H25+H26,3)</f>
        <v>1.4E-2</v>
      </c>
      <c r="I22" s="330">
        <f>ROUND(I23+I24-I25+I26,3)</f>
        <v>1.4E-2</v>
      </c>
      <c r="J22" s="330">
        <f>ROUND(J23+J24-J25+J26,3)</f>
        <v>1.6E-2</v>
      </c>
      <c r="K22" s="331">
        <f>ROUND(K23+K24-K25+K26,3)</f>
        <v>1.6E-2</v>
      </c>
      <c r="L22" s="319">
        <f t="shared" si="2"/>
        <v>0.06</v>
      </c>
      <c r="M22" s="318">
        <f>ROUND(M23+M24-M25+M26,3)</f>
        <v>1.4E-2</v>
      </c>
      <c r="N22" s="330">
        <f>ROUND(N23+N24-N25+N26,3)</f>
        <v>1.4E-2</v>
      </c>
      <c r="O22" s="330">
        <f>ROUND(O23+O24-O25+O26,3)</f>
        <v>1.6E-2</v>
      </c>
      <c r="P22" s="331">
        <f>ROUND(P23+P24-P25+P26,3)</f>
        <v>1.6E-2</v>
      </c>
      <c r="Q22" s="319">
        <f t="shared" si="3"/>
        <v>0.06</v>
      </c>
    </row>
    <row r="23" spans="1:22" s="62" customFormat="1" ht="14.45" customHeight="1" outlineLevel="1" x14ac:dyDescent="0.25">
      <c r="A23" s="321" t="s">
        <v>92</v>
      </c>
      <c r="B23" s="322" t="s">
        <v>101</v>
      </c>
      <c r="C23" s="323">
        <f>ROUND('1. Статистика'!N24,3)</f>
        <v>1.6E-2</v>
      </c>
      <c r="D23" s="326">
        <f>ROUND('1. Статистика'!O24,3)</f>
        <v>1.6E-2</v>
      </c>
      <c r="E23" s="326">
        <f>ROUND('1. Статистика'!P24,3)</f>
        <v>1.6E-2</v>
      </c>
      <c r="F23" s="327">
        <f>ROUND('1. Статистика'!Q24,3)</f>
        <v>1.6E-2</v>
      </c>
      <c r="G23" s="324">
        <f t="shared" si="1"/>
        <v>6.4000000000000001E-2</v>
      </c>
      <c r="H23" s="323">
        <f>ROUND(C22,3)</f>
        <v>1.4E-2</v>
      </c>
      <c r="I23" s="326">
        <f>ROUND(D22,3)</f>
        <v>1.4E-2</v>
      </c>
      <c r="J23" s="326">
        <f>ROUND(E22,3)</f>
        <v>1.6E-2</v>
      </c>
      <c r="K23" s="327">
        <f>ROUND(F22,3)</f>
        <v>1.6E-2</v>
      </c>
      <c r="L23" s="324">
        <f t="shared" si="2"/>
        <v>0.06</v>
      </c>
      <c r="M23" s="323">
        <f>ROUND(H22,3)</f>
        <v>1.4E-2</v>
      </c>
      <c r="N23" s="326">
        <f>ROUND(I22,3)</f>
        <v>1.4E-2</v>
      </c>
      <c r="O23" s="326">
        <f>ROUND(J22,3)</f>
        <v>1.6E-2</v>
      </c>
      <c r="P23" s="327">
        <f>ROUND(K22,3)</f>
        <v>1.6E-2</v>
      </c>
      <c r="Q23" s="324">
        <f t="shared" si="3"/>
        <v>0.06</v>
      </c>
    </row>
    <row r="24" spans="1:22" s="62" customFormat="1" ht="30" outlineLevel="1" x14ac:dyDescent="0.25">
      <c r="A24" s="321" t="s">
        <v>43</v>
      </c>
      <c r="B24" s="322" t="s">
        <v>101</v>
      </c>
      <c r="C24" s="323">
        <f>ROUND('1. Статистика'!D13,3)</f>
        <v>0</v>
      </c>
      <c r="D24" s="323">
        <f>ROUND('1. Статистика'!E13,3)</f>
        <v>0</v>
      </c>
      <c r="E24" s="323">
        <f>ROUND('1. Статистика'!F13,3)</f>
        <v>0</v>
      </c>
      <c r="F24" s="323">
        <f>ROUND('1. Статистика'!G13,3)</f>
        <v>0</v>
      </c>
      <c r="G24" s="324">
        <f t="shared" si="1"/>
        <v>0</v>
      </c>
      <c r="H24" s="323">
        <f>ROUND('1. Статистика'!I13,3)</f>
        <v>0</v>
      </c>
      <c r="I24" s="323">
        <f>ROUND('1. Статистика'!J13,3)</f>
        <v>0</v>
      </c>
      <c r="J24" s="323">
        <f>ROUND('1. Статистика'!K13,3)</f>
        <v>0</v>
      </c>
      <c r="K24" s="323">
        <f>ROUND('1. Статистика'!L13,3)</f>
        <v>0</v>
      </c>
      <c r="L24" s="324">
        <f t="shared" si="2"/>
        <v>0</v>
      </c>
      <c r="M24" s="323">
        <f>ROUND('1. Статистика'!N13,3)</f>
        <v>0</v>
      </c>
      <c r="N24" s="323">
        <f>ROUND('1. Статистика'!O13,3)</f>
        <v>0</v>
      </c>
      <c r="O24" s="323">
        <f>ROUND('1. Статистика'!P13,3)</f>
        <v>0</v>
      </c>
      <c r="P24" s="325">
        <f>ROUND('1. Статистика'!Q13,3)</f>
        <v>0</v>
      </c>
      <c r="Q24" s="324">
        <f t="shared" si="3"/>
        <v>0</v>
      </c>
    </row>
    <row r="25" spans="1:22" s="62" customFormat="1" ht="30" outlineLevel="1" x14ac:dyDescent="0.25">
      <c r="A25" s="321" t="s">
        <v>44</v>
      </c>
      <c r="B25" s="322" t="s">
        <v>101</v>
      </c>
      <c r="C25" s="328">
        <v>2E-3</v>
      </c>
      <c r="D25" s="328">
        <v>2E-3</v>
      </c>
      <c r="E25" s="328"/>
      <c r="F25" s="328"/>
      <c r="G25" s="324">
        <f t="shared" si="1"/>
        <v>4.0000000000000001E-3</v>
      </c>
      <c r="H25" s="328"/>
      <c r="I25" s="328"/>
      <c r="J25" s="328"/>
      <c r="K25" s="328"/>
      <c r="L25" s="324">
        <f t="shared" si="2"/>
        <v>0</v>
      </c>
      <c r="M25" s="328"/>
      <c r="N25" s="328"/>
      <c r="O25" s="328"/>
      <c r="P25" s="328"/>
      <c r="Q25" s="324">
        <f t="shared" si="3"/>
        <v>0</v>
      </c>
    </row>
    <row r="26" spans="1:22" s="62" customFormat="1" ht="30" outlineLevel="1" x14ac:dyDescent="0.25">
      <c r="A26" s="321" t="s">
        <v>45</v>
      </c>
      <c r="B26" s="322" t="s">
        <v>101</v>
      </c>
      <c r="C26" s="329"/>
      <c r="D26" s="329"/>
      <c r="E26" s="329"/>
      <c r="F26" s="329"/>
      <c r="G26" s="324">
        <f t="shared" si="1"/>
        <v>0</v>
      </c>
      <c r="H26" s="329"/>
      <c r="I26" s="329"/>
      <c r="J26" s="329"/>
      <c r="K26" s="329"/>
      <c r="L26" s="324">
        <f t="shared" si="2"/>
        <v>0</v>
      </c>
      <c r="M26" s="329"/>
      <c r="N26" s="329"/>
      <c r="O26" s="329"/>
      <c r="P26" s="329"/>
      <c r="Q26" s="324">
        <f t="shared" si="3"/>
        <v>0</v>
      </c>
    </row>
    <row r="27" spans="1:22" x14ac:dyDescent="0.25">
      <c r="A27" s="316" t="s">
        <v>88</v>
      </c>
      <c r="B27" s="343" t="s">
        <v>101</v>
      </c>
      <c r="C27" s="318">
        <f>ROUND('1. Статистика'!D48*$G$27,3)</f>
        <v>0</v>
      </c>
      <c r="D27" s="330">
        <f>ROUND(G27-(C27+E27+F27),3)</f>
        <v>1E-3</v>
      </c>
      <c r="E27" s="330">
        <f>ROUND('1. Статистика'!F48*$G$27,3)</f>
        <v>0</v>
      </c>
      <c r="F27" s="331">
        <f>ROUND('1. Статистика'!G48*$G$27,3)</f>
        <v>0</v>
      </c>
      <c r="G27" s="319">
        <f>ROUND(G28*G18,3)</f>
        <v>1E-3</v>
      </c>
      <c r="H27" s="318">
        <f>ROUND('1. Статистика'!D48*$L$27,3)</f>
        <v>0</v>
      </c>
      <c r="I27" s="330">
        <f>ROUND(L27-(H27+J27+K27),3)</f>
        <v>1E-3</v>
      </c>
      <c r="J27" s="318">
        <f>ROUND('1. Статистика'!F48*$L$27,3)</f>
        <v>0</v>
      </c>
      <c r="K27" s="318">
        <f>ROUND('1. Статистика'!G48*$L$27,3)</f>
        <v>0</v>
      </c>
      <c r="L27" s="319">
        <f>ROUND(L28*L18,3)</f>
        <v>1E-3</v>
      </c>
      <c r="M27" s="318">
        <f>ROUND('1. Статистика'!D48*$Q$27,3)</f>
        <v>0</v>
      </c>
      <c r="N27" s="330">
        <f>ROUND(Q27-(M27+O27+P27),3)</f>
        <v>1E-3</v>
      </c>
      <c r="O27" s="318">
        <f>ROUND('1. Статистика'!F48*$Q$27,3)</f>
        <v>0</v>
      </c>
      <c r="P27" s="318">
        <f>ROUND('1. Статистика'!G48*$Q$27,3)</f>
        <v>0</v>
      </c>
      <c r="Q27" s="319">
        <f>ROUND(Q28*Q18,3)</f>
        <v>1E-3</v>
      </c>
    </row>
    <row r="28" spans="1:22" s="12" customFormat="1" outlineLevel="1" x14ac:dyDescent="0.25">
      <c r="A28" s="332" t="s">
        <v>46</v>
      </c>
      <c r="B28" s="322" t="s">
        <v>107</v>
      </c>
      <c r="C28" s="344"/>
      <c r="D28" s="345"/>
      <c r="E28" s="345"/>
      <c r="F28" s="346"/>
      <c r="G28" s="435">
        <f>ROUND(IFERROR(('1. Статистика'!C25+'1. Статистика'!H25+'1. Статистика'!M25)/('1. Статистика'!C22+'1. Статистика'!H22+'1. Статистика'!M22),0),3)</f>
        <v>2E-3</v>
      </c>
      <c r="H28" s="344"/>
      <c r="I28" s="345"/>
      <c r="J28" s="345"/>
      <c r="K28" s="346"/>
      <c r="L28" s="435">
        <f>ROUND(G28,3)</f>
        <v>2E-3</v>
      </c>
      <c r="M28" s="344"/>
      <c r="N28" s="345"/>
      <c r="O28" s="345"/>
      <c r="P28" s="346"/>
      <c r="Q28" s="435">
        <f>ROUND(G28,3)</f>
        <v>2E-3</v>
      </c>
    </row>
    <row r="29" spans="1:22" s="13" customFormat="1" x14ac:dyDescent="0.25">
      <c r="A29" s="316" t="s">
        <v>89</v>
      </c>
      <c r="B29" s="343" t="s">
        <v>101</v>
      </c>
      <c r="C29" s="318">
        <f>ROUND(C30+C31,3)</f>
        <v>0</v>
      </c>
      <c r="D29" s="330">
        <f>ROUND(D30+D31,3)</f>
        <v>0</v>
      </c>
      <c r="E29" s="330">
        <f>ROUND(E30+E31,3)</f>
        <v>0</v>
      </c>
      <c r="F29" s="331">
        <f>ROUND(F30+F31,3)</f>
        <v>0</v>
      </c>
      <c r="G29" s="319">
        <f>ROUND(SUM(G30:G31),3)</f>
        <v>0</v>
      </c>
      <c r="H29" s="318">
        <f>ROUND(H30+H31,3)</f>
        <v>0</v>
      </c>
      <c r="I29" s="330">
        <f>ROUND(I30+I31,3)</f>
        <v>0</v>
      </c>
      <c r="J29" s="330">
        <f>ROUND(J30+J31,3)</f>
        <v>0</v>
      </c>
      <c r="K29" s="331">
        <f>ROUND(K30+K31,3)</f>
        <v>0</v>
      </c>
      <c r="L29" s="319">
        <f>ROUND(SUM(L30:L31),3)</f>
        <v>0</v>
      </c>
      <c r="M29" s="318">
        <f>ROUND(M30+M31,3)</f>
        <v>0</v>
      </c>
      <c r="N29" s="330">
        <f>ROUND(N30+N31,3)</f>
        <v>0</v>
      </c>
      <c r="O29" s="330">
        <f>ROUND(O30+O31,3)</f>
        <v>0</v>
      </c>
      <c r="P29" s="331">
        <f>ROUND(P30+P31,3)</f>
        <v>0</v>
      </c>
      <c r="Q29" s="319">
        <f>ROUND(SUM(Q30:Q31),3)</f>
        <v>0</v>
      </c>
    </row>
    <row r="30" spans="1:22" s="62" customFormat="1" outlineLevel="1" x14ac:dyDescent="0.25">
      <c r="A30" s="332" t="s">
        <v>47</v>
      </c>
      <c r="B30" s="322" t="s">
        <v>101</v>
      </c>
      <c r="C30" s="323">
        <f>ROUND('1. Статистика'!N26,3)</f>
        <v>0</v>
      </c>
      <c r="D30" s="326">
        <f>ROUND('1. Статистика'!O26,3)</f>
        <v>0</v>
      </c>
      <c r="E30" s="326">
        <f>ROUND('1. Статистика'!P26,3)</f>
        <v>0</v>
      </c>
      <c r="F30" s="327">
        <f>ROUND('1. Статистика'!Q26,3)</f>
        <v>0</v>
      </c>
      <c r="G30" s="324">
        <f>ROUND(SUM(C30:F30),3)</f>
        <v>0</v>
      </c>
      <c r="H30" s="323">
        <f>ROUND(C29,3)</f>
        <v>0</v>
      </c>
      <c r="I30" s="326">
        <f>ROUND(D29,3)</f>
        <v>0</v>
      </c>
      <c r="J30" s="326">
        <f>ROUND(E29,3)</f>
        <v>0</v>
      </c>
      <c r="K30" s="327">
        <f>ROUND(F29,3)</f>
        <v>0</v>
      </c>
      <c r="L30" s="324">
        <f>ROUND(SUM(H30:K30),3)</f>
        <v>0</v>
      </c>
      <c r="M30" s="323">
        <f>ROUND(H29,3)</f>
        <v>0</v>
      </c>
      <c r="N30" s="326">
        <f>ROUND(I29,3)</f>
        <v>0</v>
      </c>
      <c r="O30" s="326">
        <f>ROUND(J29,3)</f>
        <v>0</v>
      </c>
      <c r="P30" s="327">
        <f>ROUND(K29,3)</f>
        <v>0</v>
      </c>
      <c r="Q30" s="324">
        <f>ROUND(SUM(M30:P30),3)</f>
        <v>0</v>
      </c>
    </row>
    <row r="31" spans="1:22" s="62" customFormat="1" outlineLevel="1" x14ac:dyDescent="0.25">
      <c r="A31" s="332" t="s">
        <v>48</v>
      </c>
      <c r="B31" s="322" t="s">
        <v>101</v>
      </c>
      <c r="C31" s="329"/>
      <c r="D31" s="329"/>
      <c r="E31" s="329"/>
      <c r="F31" s="329"/>
      <c r="G31" s="324">
        <f>ROUND(SUM(C31:F31),3)</f>
        <v>0</v>
      </c>
      <c r="H31" s="329"/>
      <c r="I31" s="329"/>
      <c r="J31" s="329"/>
      <c r="K31" s="329"/>
      <c r="L31" s="324">
        <f>ROUND(SUM(H31:K31),3)</f>
        <v>0</v>
      </c>
      <c r="M31" s="329"/>
      <c r="N31" s="329"/>
      <c r="O31" s="329"/>
      <c r="P31" s="329"/>
      <c r="Q31" s="324">
        <f>ROUND(SUM(M31:P31),3)</f>
        <v>0</v>
      </c>
    </row>
    <row r="32" spans="1:22" s="13" customFormat="1" ht="14.45" customHeight="1" x14ac:dyDescent="0.25">
      <c r="A32" s="316" t="s">
        <v>90</v>
      </c>
      <c r="B32" s="343" t="s">
        <v>101</v>
      </c>
      <c r="C32" s="318">
        <f>ROUND('1. Статистика'!D49*$G$32,3)</f>
        <v>1E-3</v>
      </c>
      <c r="D32" s="330">
        <f>ROUND(G32-(C32+E32+F32),3)</f>
        <v>1E-3</v>
      </c>
      <c r="E32" s="318">
        <f>ROUND('1. Статистика'!F49*$G$32,3)</f>
        <v>1E-3</v>
      </c>
      <c r="F32" s="318">
        <f>ROUND('1. Статистика'!G49*$G$32,3)</f>
        <v>1E-3</v>
      </c>
      <c r="G32" s="319">
        <f>ROUND((G33*G34)/1000,3)</f>
        <v>4.0000000000000001E-3</v>
      </c>
      <c r="H32" s="318">
        <f>ROUND('1. Статистика'!D49*$L$32,3)</f>
        <v>1E-3</v>
      </c>
      <c r="I32" s="330">
        <f>ROUND(L32-(H32+J32+K32),3)</f>
        <v>1E-3</v>
      </c>
      <c r="J32" s="318">
        <f>ROUND('1. Статистика'!F49*$L$32,3)</f>
        <v>1E-3</v>
      </c>
      <c r="K32" s="318">
        <f>ROUND('1. Статистика'!G49*$L$32,3)</f>
        <v>1E-3</v>
      </c>
      <c r="L32" s="319">
        <f>ROUND((L33*L34)/1000,3)</f>
        <v>4.0000000000000001E-3</v>
      </c>
      <c r="M32" s="318">
        <f>ROUND('1. Статистика'!D49*$Q$32,3)</f>
        <v>1E-3</v>
      </c>
      <c r="N32" s="330">
        <f>ROUND(Q32-(M32+O32+P32),3)</f>
        <v>1E-3</v>
      </c>
      <c r="O32" s="318">
        <f>ROUND('1. Статистика'!F49*$Q$32,3)</f>
        <v>1E-3</v>
      </c>
      <c r="P32" s="318">
        <f>ROUND('1. Статистика'!G49*$Q$32,3)</f>
        <v>1E-3</v>
      </c>
      <c r="Q32" s="319">
        <f>ROUND((Q33*Q34)/1000,3)</f>
        <v>4.0000000000000001E-3</v>
      </c>
    </row>
    <row r="33" spans="1:18" s="62" customFormat="1" ht="14.45" customHeight="1" outlineLevel="1" x14ac:dyDescent="0.25">
      <c r="A33" s="321" t="s">
        <v>100</v>
      </c>
      <c r="B33" s="322" t="s">
        <v>130</v>
      </c>
      <c r="C33" s="347"/>
      <c r="D33" s="347"/>
      <c r="E33" s="347"/>
      <c r="F33" s="347"/>
      <c r="G33" s="324">
        <f>ROUND('1. Статистика'!C61,3)</f>
        <v>4.0000000000000001E-3</v>
      </c>
      <c r="H33" s="347"/>
      <c r="I33" s="347"/>
      <c r="J33" s="347"/>
      <c r="K33" s="347"/>
      <c r="L33" s="324">
        <f>ROUND('1. Статистика'!D61,3)</f>
        <v>4.0000000000000001E-3</v>
      </c>
      <c r="M33" s="347"/>
      <c r="N33" s="347"/>
      <c r="O33" s="347"/>
      <c r="P33" s="347"/>
      <c r="Q33" s="324">
        <f>ROUND('1. Статистика'!E61,3)</f>
        <v>4.0000000000000001E-3</v>
      </c>
    </row>
    <row r="34" spans="1:18" s="62" customFormat="1" ht="14.45" customHeight="1" outlineLevel="1" x14ac:dyDescent="0.25">
      <c r="A34" s="332" t="s">
        <v>128</v>
      </c>
      <c r="B34" s="322" t="s">
        <v>102</v>
      </c>
      <c r="C34" s="347"/>
      <c r="D34" s="347"/>
      <c r="E34" s="347"/>
      <c r="F34" s="347"/>
      <c r="G34" s="324">
        <f>ROUND('1. Статистика'!F56,3)</f>
        <v>1012</v>
      </c>
      <c r="H34" s="347"/>
      <c r="I34" s="347"/>
      <c r="J34" s="347"/>
      <c r="K34" s="347"/>
      <c r="L34" s="324">
        <f>ROUND('1. Статистика'!G56,3)</f>
        <v>1010</v>
      </c>
      <c r="M34" s="347"/>
      <c r="N34" s="347"/>
      <c r="O34" s="347"/>
      <c r="P34" s="347"/>
      <c r="Q34" s="324">
        <f>ROUND('1. Статистика'!H56,3)</f>
        <v>1008.4</v>
      </c>
    </row>
    <row r="35" spans="1:18" s="294" customFormat="1" ht="15" customHeight="1" x14ac:dyDescent="0.25">
      <c r="A35" s="333" t="s">
        <v>42</v>
      </c>
      <c r="B35" s="334" t="s">
        <v>101</v>
      </c>
      <c r="C35" s="335">
        <f t="shared" ref="C35:Q35" si="4">ROUND(C19+C22+C29+C32+C27,3)</f>
        <v>8.4000000000000005E-2</v>
      </c>
      <c r="D35" s="335">
        <f t="shared" si="4"/>
        <v>8.8999999999999996E-2</v>
      </c>
      <c r="E35" s="335">
        <f t="shared" si="4"/>
        <v>8.5000000000000006E-2</v>
      </c>
      <c r="F35" s="335">
        <f t="shared" si="4"/>
        <v>8.5999999999999993E-2</v>
      </c>
      <c r="G35" s="338">
        <f t="shared" si="4"/>
        <v>0.34399999999999997</v>
      </c>
      <c r="H35" s="335">
        <f t="shared" si="4"/>
        <v>8.4000000000000005E-2</v>
      </c>
      <c r="I35" s="335">
        <f t="shared" si="4"/>
        <v>8.8999999999999996E-2</v>
      </c>
      <c r="J35" s="335">
        <f t="shared" si="4"/>
        <v>8.5000000000000006E-2</v>
      </c>
      <c r="K35" s="335">
        <f t="shared" si="4"/>
        <v>8.5999999999999993E-2</v>
      </c>
      <c r="L35" s="338">
        <f t="shared" si="4"/>
        <v>0.34399999999999997</v>
      </c>
      <c r="M35" s="335">
        <f t="shared" si="4"/>
        <v>8.4000000000000005E-2</v>
      </c>
      <c r="N35" s="335">
        <f t="shared" si="4"/>
        <v>8.8999999999999996E-2</v>
      </c>
      <c r="O35" s="335">
        <f t="shared" si="4"/>
        <v>8.5000000000000006E-2</v>
      </c>
      <c r="P35" s="348">
        <f t="shared" si="4"/>
        <v>8.5999999999999993E-2</v>
      </c>
      <c r="Q35" s="338">
        <f t="shared" si="4"/>
        <v>0.34399999999999997</v>
      </c>
    </row>
    <row r="36" spans="1:18" s="11" customFormat="1" ht="15.75" thickBot="1" x14ac:dyDescent="0.3">
      <c r="A36" s="349" t="s">
        <v>49</v>
      </c>
      <c r="B36" s="350" t="s">
        <v>101</v>
      </c>
      <c r="C36" s="351">
        <f t="shared" ref="C36:Q36" si="5">ROUND(C18-C35,3)</f>
        <v>0.22800000000000001</v>
      </c>
      <c r="D36" s="352">
        <f t="shared" si="5"/>
        <v>0.224</v>
      </c>
      <c r="E36" s="352">
        <f t="shared" si="5"/>
        <v>0.219</v>
      </c>
      <c r="F36" s="353">
        <f t="shared" si="5"/>
        <v>0.216</v>
      </c>
      <c r="G36" s="354">
        <f t="shared" si="5"/>
        <v>0.216</v>
      </c>
      <c r="H36" s="351">
        <f t="shared" si="5"/>
        <v>0.22800000000000001</v>
      </c>
      <c r="I36" s="352">
        <f t="shared" si="5"/>
        <v>0.224</v>
      </c>
      <c r="J36" s="352">
        <f t="shared" si="5"/>
        <v>0.219</v>
      </c>
      <c r="K36" s="353">
        <f t="shared" si="5"/>
        <v>0.216</v>
      </c>
      <c r="L36" s="354">
        <f t="shared" si="5"/>
        <v>0.216</v>
      </c>
      <c r="M36" s="351">
        <f t="shared" si="5"/>
        <v>0.22800000000000001</v>
      </c>
      <c r="N36" s="352">
        <f t="shared" si="5"/>
        <v>0.224</v>
      </c>
      <c r="O36" s="352">
        <f t="shared" si="5"/>
        <v>0.219</v>
      </c>
      <c r="P36" s="353">
        <f t="shared" si="5"/>
        <v>0.216</v>
      </c>
      <c r="Q36" s="355">
        <f t="shared" si="5"/>
        <v>0.216</v>
      </c>
    </row>
    <row r="37" spans="1:18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8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8" ht="15" customHeight="1" x14ac:dyDescent="0.25">
      <c r="A39" s="237" t="s">
        <v>78</v>
      </c>
      <c r="C39" s="266">
        <f t="shared" ref="C39:Q39" si="6">ROUND(C18-C35-C36,3)</f>
        <v>0</v>
      </c>
      <c r="D39" s="266">
        <f t="shared" si="6"/>
        <v>0</v>
      </c>
      <c r="E39" s="266">
        <f t="shared" si="6"/>
        <v>0</v>
      </c>
      <c r="F39" s="266">
        <f t="shared" si="6"/>
        <v>0</v>
      </c>
      <c r="G39" s="267">
        <f t="shared" si="6"/>
        <v>0</v>
      </c>
      <c r="H39" s="266">
        <f t="shared" si="6"/>
        <v>0</v>
      </c>
      <c r="I39" s="266">
        <f t="shared" si="6"/>
        <v>0</v>
      </c>
      <c r="J39" s="266">
        <f t="shared" si="6"/>
        <v>0</v>
      </c>
      <c r="K39" s="266">
        <f t="shared" si="6"/>
        <v>0</v>
      </c>
      <c r="L39" s="267">
        <f t="shared" si="6"/>
        <v>0</v>
      </c>
      <c r="M39" s="266">
        <f t="shared" si="6"/>
        <v>0</v>
      </c>
      <c r="N39" s="266">
        <f t="shared" si="6"/>
        <v>0</v>
      </c>
      <c r="O39" s="266">
        <f t="shared" si="6"/>
        <v>0</v>
      </c>
      <c r="P39" s="266">
        <f t="shared" si="6"/>
        <v>0</v>
      </c>
      <c r="Q39" s="267">
        <f t="shared" si="6"/>
        <v>0</v>
      </c>
      <c r="R39" s="79"/>
    </row>
    <row r="40" spans="1:18" x14ac:dyDescent="0.25">
      <c r="A40" s="31"/>
      <c r="C40" s="266"/>
      <c r="D40" s="266"/>
      <c r="E40" s="266"/>
      <c r="F40" s="266"/>
      <c r="G40" s="266"/>
      <c r="H40" s="266"/>
      <c r="I40" s="266"/>
      <c r="J40" s="284"/>
      <c r="K40" s="284"/>
      <c r="L40" s="284"/>
      <c r="M40" s="284"/>
      <c r="N40" s="284"/>
      <c r="O40" s="284"/>
      <c r="P40" s="284"/>
      <c r="Q40" s="284"/>
      <c r="R40" s="79"/>
    </row>
    <row r="41" spans="1:18" x14ac:dyDescent="0.25">
      <c r="C41" s="266"/>
      <c r="D41" s="266"/>
      <c r="E41" s="266"/>
      <c r="F41" s="266"/>
      <c r="G41" s="266"/>
      <c r="H41" s="266"/>
      <c r="I41" s="266"/>
      <c r="J41" s="284"/>
      <c r="K41" s="284"/>
      <c r="L41" s="284"/>
      <c r="M41" s="284"/>
      <c r="N41" s="284"/>
      <c r="O41" s="284"/>
      <c r="P41" s="284"/>
      <c r="Q41" s="284"/>
      <c r="R41" s="79"/>
    </row>
    <row r="42" spans="1:18" x14ac:dyDescent="0.25">
      <c r="A42" s="237" t="s">
        <v>50</v>
      </c>
      <c r="C42" s="266">
        <f t="shared" ref="C42:Q42" si="7">ROUND(C9+C10+C15-C19-C22-C27-C29-C32-C36,3)</f>
        <v>0</v>
      </c>
      <c r="D42" s="266">
        <f t="shared" si="7"/>
        <v>0</v>
      </c>
      <c r="E42" s="266">
        <f t="shared" si="7"/>
        <v>0</v>
      </c>
      <c r="F42" s="266">
        <f t="shared" si="7"/>
        <v>0</v>
      </c>
      <c r="G42" s="267">
        <f t="shared" si="7"/>
        <v>0</v>
      </c>
      <c r="H42" s="266">
        <f t="shared" si="7"/>
        <v>0</v>
      </c>
      <c r="I42" s="266">
        <f t="shared" si="7"/>
        <v>0</v>
      </c>
      <c r="J42" s="266">
        <f t="shared" si="7"/>
        <v>0</v>
      </c>
      <c r="K42" s="266">
        <f t="shared" si="7"/>
        <v>0</v>
      </c>
      <c r="L42" s="267">
        <f t="shared" si="7"/>
        <v>0</v>
      </c>
      <c r="M42" s="266">
        <f t="shared" si="7"/>
        <v>0</v>
      </c>
      <c r="N42" s="266">
        <f t="shared" si="7"/>
        <v>0</v>
      </c>
      <c r="O42" s="266">
        <f t="shared" si="7"/>
        <v>0</v>
      </c>
      <c r="P42" s="266">
        <f t="shared" si="7"/>
        <v>0</v>
      </c>
      <c r="Q42" s="267">
        <f t="shared" si="7"/>
        <v>0</v>
      </c>
      <c r="R42" s="79"/>
    </row>
    <row r="43" spans="1:18" x14ac:dyDescent="0.25"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166" ht="15" customHeight="1" x14ac:dyDescent="0.25"/>
  </sheetData>
  <sheetProtection algorithmName="SHA-512" hashValue="J5tlPuLJbtEDDWCPUGeusP7lm8QJAIDpeqfBE1W6hm5WRoIjvznZFMhWJr/MLVJYDLoRWguzUggk9pynQwfQ0A==" saltValue="X7EX04jSoQVM1Wf9FOf0yA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9" type="noConversion"/>
  <dataValidations count="5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7 G15:G17 Q15:Q18">
      <formula1>-1000000000</formula1>
    </dataValidation>
    <dataValidation type="decimal" operator="greaterThan" allowBlank="1" showInputMessage="1" showErrorMessage="1" sqref="H33:K34 M11:P12 G18 I32 L18 C11:F12 D32 C33:F34 H11:K12 M33:P34 B3 N32">
      <formula1>-1000000000</formula1>
    </dataValidation>
    <dataValidation operator="greaterThan" allowBlank="1" showInputMessage="1" showErrorMessage="1" sqref="O32:P32 J32:K32 E32:F32 C32 H32 M32"/>
    <dataValidation type="decimal" operator="greaterThan" allowBlank="1" showInputMessage="1" showErrorMessage="1" sqref="C13:F31 H13:K31 M13:P31">
      <formula1>-10000000000000</formula1>
    </dataValidation>
    <dataValidation type="decimal" allowBlank="1" showInputMessage="1" showErrorMessage="1" sqref="G28 L28 Q28">
      <formula1>-1000000000</formula1>
      <formula2>1000000000000000</formula2>
    </dataValidation>
  </dataValidations>
  <pageMargins left="0.25" right="0.25" top="0.75" bottom="0.75" header="0.3" footer="0.3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42"/>
  <sheetViews>
    <sheetView showGridLines="0" zoomScaleNormal="10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Q9" sqref="Q9"/>
    </sheetView>
  </sheetViews>
  <sheetFormatPr defaultRowHeight="15" outlineLevelRow="1" x14ac:dyDescent="0.25"/>
  <cols>
    <col min="1" max="1" width="60.140625" customWidth="1"/>
    <col min="2" max="2" width="10.5703125" customWidth="1"/>
    <col min="3" max="17" width="13.85546875" customWidth="1"/>
  </cols>
  <sheetData>
    <row r="1" spans="1:17" x14ac:dyDescent="0.25">
      <c r="A1" s="99"/>
      <c r="B1" s="100" t="s">
        <v>10</v>
      </c>
    </row>
    <row r="2" spans="1:17" x14ac:dyDescent="0.25">
      <c r="A2" s="101" t="s">
        <v>9</v>
      </c>
      <c r="B2" s="102"/>
    </row>
    <row r="3" spans="1:17" x14ac:dyDescent="0.25">
      <c r="A3" s="101" t="s">
        <v>53</v>
      </c>
      <c r="B3" s="123"/>
    </row>
    <row r="4" spans="1:17" x14ac:dyDescent="0.25">
      <c r="A4" s="103"/>
      <c r="B4" s="104"/>
    </row>
    <row r="5" spans="1:17" x14ac:dyDescent="0.25">
      <c r="A5" s="103"/>
      <c r="B5" s="104"/>
    </row>
    <row r="6" spans="1:17" ht="15.75" thickBot="1" x14ac:dyDescent="0.3"/>
    <row r="7" spans="1:17" ht="18" customHeight="1" x14ac:dyDescent="0.25">
      <c r="A7" s="480" t="s">
        <v>15</v>
      </c>
      <c r="B7" s="466" t="s">
        <v>36</v>
      </c>
      <c r="C7" s="475" t="str">
        <f>YEAR(Date)&amp;" год"</f>
        <v>2020 год</v>
      </c>
      <c r="D7" s="476"/>
      <c r="E7" s="476"/>
      <c r="F7" s="477"/>
      <c r="G7" s="478" t="str">
        <f>C7</f>
        <v>2020 год</v>
      </c>
      <c r="H7" s="475" t="str">
        <f>(LEFT(C7,4)+1)&amp;" год"</f>
        <v>2021 год</v>
      </c>
      <c r="I7" s="476"/>
      <c r="J7" s="476"/>
      <c r="K7" s="477"/>
      <c r="L7" s="478" t="str">
        <f>H7</f>
        <v>2021 год</v>
      </c>
      <c r="M7" s="475" t="str">
        <f>(LEFT(H7,4)+1)&amp;" год"</f>
        <v>2022 год</v>
      </c>
      <c r="N7" s="476"/>
      <c r="O7" s="476"/>
      <c r="P7" s="477"/>
      <c r="Q7" s="478" t="str">
        <f>M7</f>
        <v>2022 год</v>
      </c>
    </row>
    <row r="8" spans="1:17" ht="15.75" thickBot="1" x14ac:dyDescent="0.3">
      <c r="A8" s="481"/>
      <c r="B8" s="467"/>
      <c r="C8" s="45" t="s">
        <v>0</v>
      </c>
      <c r="D8" s="46" t="s">
        <v>1</v>
      </c>
      <c r="E8" s="46" t="s">
        <v>2</v>
      </c>
      <c r="F8" s="47" t="s">
        <v>3</v>
      </c>
      <c r="G8" s="479"/>
      <c r="H8" s="45" t="s">
        <v>0</v>
      </c>
      <c r="I8" s="46" t="s">
        <v>1</v>
      </c>
      <c r="J8" s="46" t="s">
        <v>2</v>
      </c>
      <c r="K8" s="47" t="s">
        <v>3</v>
      </c>
      <c r="L8" s="479"/>
      <c r="M8" s="45" t="s">
        <v>0</v>
      </c>
      <c r="N8" s="46" t="s">
        <v>1</v>
      </c>
      <c r="O8" s="46" t="s">
        <v>2</v>
      </c>
      <c r="P8" s="47" t="s">
        <v>3</v>
      </c>
      <c r="Q8" s="479"/>
    </row>
    <row r="9" spans="1:17" x14ac:dyDescent="0.25">
      <c r="A9" s="223" t="s">
        <v>38</v>
      </c>
      <c r="B9" s="229" t="s">
        <v>101</v>
      </c>
      <c r="C9" s="238">
        <f>ROUND(G9,3)</f>
        <v>0.216</v>
      </c>
      <c r="D9" s="239">
        <f>ROUND(C36,3)</f>
        <v>0.22800000000000001</v>
      </c>
      <c r="E9" s="239">
        <f>ROUND(D36,3)</f>
        <v>0.224</v>
      </c>
      <c r="F9" s="240">
        <f>ROUND(E36,3)</f>
        <v>0.219</v>
      </c>
      <c r="G9" s="115">
        <f>ROUND('1. Статистика'!AK40,3)</f>
        <v>0.216</v>
      </c>
      <c r="H9" s="238">
        <f>ROUND(L9,3)</f>
        <v>0.216</v>
      </c>
      <c r="I9" s="239">
        <f>ROUND(H36,3)</f>
        <v>0.22800000000000001</v>
      </c>
      <c r="J9" s="239">
        <f>ROUND(I36,3)</f>
        <v>0.224</v>
      </c>
      <c r="K9" s="240">
        <f>ROUND(J36,3)</f>
        <v>0.219</v>
      </c>
      <c r="L9" s="115">
        <f>ROUND(F36,3)</f>
        <v>0.216</v>
      </c>
      <c r="M9" s="238">
        <f>ROUND(Q9,3)</f>
        <v>0.216</v>
      </c>
      <c r="N9" s="239">
        <f>ROUND(M36,3)</f>
        <v>0.22800000000000001</v>
      </c>
      <c r="O9" s="239">
        <f>ROUND(N36,3)</f>
        <v>0.224</v>
      </c>
      <c r="P9" s="240">
        <f>ROUND(O36,3)</f>
        <v>0.219</v>
      </c>
      <c r="Q9" s="115">
        <f>ROUND(K36,3)</f>
        <v>0.216</v>
      </c>
    </row>
    <row r="10" spans="1:17" x14ac:dyDescent="0.25">
      <c r="A10" s="224" t="s">
        <v>116</v>
      </c>
      <c r="B10" s="229" t="s">
        <v>101</v>
      </c>
      <c r="C10" s="241">
        <f>ROUND(C11+C12-C13+C14,3)</f>
        <v>0</v>
      </c>
      <c r="D10" s="242">
        <f>ROUND(D11+D12-D13+D14,3)</f>
        <v>0</v>
      </c>
      <c r="E10" s="242">
        <f>ROUND(E11+E12-E13+E14,3)</f>
        <v>0</v>
      </c>
      <c r="F10" s="243">
        <f>ROUND(F11+F12-F13+F14,3)</f>
        <v>0</v>
      </c>
      <c r="G10" s="115">
        <f>ROUND(SUM(C10:F10),3)</f>
        <v>0</v>
      </c>
      <c r="H10" s="241">
        <f>ROUND(H11+H12-H13+H14,3)</f>
        <v>0</v>
      </c>
      <c r="I10" s="242">
        <f>ROUND(I11+I12-I13+I14,3)</f>
        <v>0</v>
      </c>
      <c r="J10" s="242">
        <f>ROUND(J11+J12-J13+J14,3)</f>
        <v>0</v>
      </c>
      <c r="K10" s="243">
        <f>ROUND(K11+K12-K13+K14,3)</f>
        <v>0</v>
      </c>
      <c r="L10" s="115">
        <f>ROUND(SUM(H10:K10),3)</f>
        <v>0</v>
      </c>
      <c r="M10" s="241">
        <f>ROUND(M11+M12-M13+M14,3)</f>
        <v>0</v>
      </c>
      <c r="N10" s="242">
        <f>ROUND(N11+N12-N13+N14,3)</f>
        <v>0</v>
      </c>
      <c r="O10" s="242">
        <f>ROUND(O11+O12-O13+O14,3)</f>
        <v>0</v>
      </c>
      <c r="P10" s="243">
        <f>ROUND(P11+P12-P13+P14,3)</f>
        <v>0</v>
      </c>
      <c r="Q10" s="115">
        <f>ROUND(SUM(M10:P10),3)</f>
        <v>0</v>
      </c>
    </row>
    <row r="11" spans="1:17" s="3" customFormat="1" outlineLevel="1" x14ac:dyDescent="0.25">
      <c r="A11" s="80" t="s">
        <v>95</v>
      </c>
      <c r="B11" s="177" t="s">
        <v>101</v>
      </c>
      <c r="C11" s="116">
        <f>ROUND('1. Статистика'!N20,3)</f>
        <v>0</v>
      </c>
      <c r="D11" s="116">
        <f>ROUND('1. Статистика'!O20,3)</f>
        <v>0</v>
      </c>
      <c r="E11" s="116">
        <f>ROUND('1. Статистика'!P20,3)</f>
        <v>0</v>
      </c>
      <c r="F11" s="117">
        <f>ROUND('1. Статистика'!Q20,3)</f>
        <v>0</v>
      </c>
      <c r="G11" s="118">
        <f>ROUND(SUM(C11:F11),3)</f>
        <v>0</v>
      </c>
      <c r="H11" s="116">
        <f>ROUND(C10,3)</f>
        <v>0</v>
      </c>
      <c r="I11" s="119">
        <f>ROUND(D10,3)</f>
        <v>0</v>
      </c>
      <c r="J11" s="119">
        <f>ROUND(E10,3)</f>
        <v>0</v>
      </c>
      <c r="K11" s="120">
        <f>ROUND(F10,3)</f>
        <v>0</v>
      </c>
      <c r="L11" s="118">
        <f>ROUND(SUM(H11:K11),3)</f>
        <v>0</v>
      </c>
      <c r="M11" s="116">
        <f>ROUND(H10,3)</f>
        <v>0</v>
      </c>
      <c r="N11" s="119">
        <f>ROUND(I10,3)</f>
        <v>0</v>
      </c>
      <c r="O11" s="119">
        <f>ROUND(J10,3)</f>
        <v>0</v>
      </c>
      <c r="P11" s="120">
        <f>ROUND(K10,3)</f>
        <v>0</v>
      </c>
      <c r="Q11" s="118">
        <f>ROUND(SUM(M11:P11),3)</f>
        <v>0</v>
      </c>
    </row>
    <row r="12" spans="1:17" s="3" customFormat="1" ht="30" outlineLevel="1" x14ac:dyDescent="0.25">
      <c r="A12" s="80" t="s">
        <v>96</v>
      </c>
      <c r="B12" s="177" t="s">
        <v>101</v>
      </c>
      <c r="C12" s="116">
        <f>ROUND('1. Статистика'!D11,3)</f>
        <v>0</v>
      </c>
      <c r="D12" s="119">
        <f>ROUND('1. Статистика'!E11,3)</f>
        <v>0</v>
      </c>
      <c r="E12" s="119">
        <f>ROUND('1. Статистика'!F11,3)</f>
        <v>0</v>
      </c>
      <c r="F12" s="120">
        <f>ROUND('1. Статистика'!G11,3)</f>
        <v>0</v>
      </c>
      <c r="G12" s="118">
        <f>ROUND(SUM(C12:F12),3)</f>
        <v>0</v>
      </c>
      <c r="H12" s="116">
        <f>ROUND('1. Статистика'!I11,3)</f>
        <v>0</v>
      </c>
      <c r="I12" s="119">
        <f>ROUND('1. Статистика'!J11,3)</f>
        <v>0</v>
      </c>
      <c r="J12" s="119">
        <f>ROUND('1. Статистика'!K11,3)</f>
        <v>0</v>
      </c>
      <c r="K12" s="120">
        <f>ROUND('1. Статистика'!L11,3)</f>
        <v>0</v>
      </c>
      <c r="L12" s="118">
        <f>ROUND(SUM(H12:K12),3)</f>
        <v>0</v>
      </c>
      <c r="M12" s="116">
        <f>ROUND('1. Статистика'!N11,3)</f>
        <v>0</v>
      </c>
      <c r="N12" s="119">
        <f>ROUND('1. Статистика'!O11,3)</f>
        <v>0</v>
      </c>
      <c r="O12" s="119">
        <f>ROUND('1. Статистика'!P11,3)</f>
        <v>0</v>
      </c>
      <c r="P12" s="120">
        <f>ROUND('1. Статистика'!Q11,3)</f>
        <v>0</v>
      </c>
      <c r="Q12" s="118">
        <f>ROUND(SUM(M12:P12),3)</f>
        <v>0</v>
      </c>
    </row>
    <row r="13" spans="1:17" s="3" customFormat="1" ht="30" outlineLevel="1" x14ac:dyDescent="0.25">
      <c r="A13" s="80" t="s">
        <v>97</v>
      </c>
      <c r="B13" s="177" t="s">
        <v>101</v>
      </c>
      <c r="C13" s="116">
        <f>ROUND('2. Прогноз. Без корректировки'!C13,3)</f>
        <v>0</v>
      </c>
      <c r="D13" s="119">
        <f>ROUND('2. Прогноз. Без корректировки'!D13,3)</f>
        <v>0</v>
      </c>
      <c r="E13" s="119">
        <f>ROUND('2. Прогноз. Без корректировки'!E13,3)</f>
        <v>0</v>
      </c>
      <c r="F13" s="120">
        <f>ROUND('2. Прогноз. Без корректировки'!F13,3)</f>
        <v>0</v>
      </c>
      <c r="G13" s="118">
        <f>ROUND(SUM(C13:F13),3)</f>
        <v>0</v>
      </c>
      <c r="H13" s="116">
        <f>ROUND('2. Прогноз. Без корректировки'!H13,3)</f>
        <v>0</v>
      </c>
      <c r="I13" s="119">
        <f>ROUND('2. Прогноз. Без корректировки'!I13,3)</f>
        <v>0</v>
      </c>
      <c r="J13" s="119">
        <f>ROUND('2. Прогноз. Без корректировки'!J13,3)</f>
        <v>0</v>
      </c>
      <c r="K13" s="120">
        <f>ROUND('2. Прогноз. Без корректировки'!K13,3)</f>
        <v>0</v>
      </c>
      <c r="L13" s="118">
        <f>ROUND(SUM(H13:K13),3)</f>
        <v>0</v>
      </c>
      <c r="M13" s="116">
        <f>ROUND('2. Прогноз. Без корректировки'!M13,3)</f>
        <v>0</v>
      </c>
      <c r="N13" s="119">
        <f>ROUND('2. Прогноз. Без корректировки'!N13,3)</f>
        <v>0</v>
      </c>
      <c r="O13" s="119">
        <f>ROUND('2. Прогноз. Без корректировки'!O13,3)</f>
        <v>0</v>
      </c>
      <c r="P13" s="120">
        <f>ROUND('2. Прогноз. Без корректировки'!P13,3)</f>
        <v>0</v>
      </c>
      <c r="Q13" s="118">
        <f>ROUND(SUM(M13:P13),3)</f>
        <v>0</v>
      </c>
    </row>
    <row r="14" spans="1:17" s="3" customFormat="1" ht="30" outlineLevel="1" x14ac:dyDescent="0.25">
      <c r="A14" s="80" t="s">
        <v>98</v>
      </c>
      <c r="B14" s="177" t="s">
        <v>101</v>
      </c>
      <c r="C14" s="116">
        <f>ROUND('2. Прогноз. Без корректировки'!C14,3)</f>
        <v>0</v>
      </c>
      <c r="D14" s="119">
        <f>ROUND('2. Прогноз. Без корректировки'!D14,3)</f>
        <v>0</v>
      </c>
      <c r="E14" s="119">
        <f>ROUND('2. Прогноз. Без корректировки'!E14,3)</f>
        <v>0</v>
      </c>
      <c r="F14" s="120">
        <f>ROUND('2. Прогноз. Без корректировки'!F14,3)</f>
        <v>0</v>
      </c>
      <c r="G14" s="118">
        <f>ROUND(SUM(C14:F14),3)</f>
        <v>0</v>
      </c>
      <c r="H14" s="116">
        <f>ROUND('2. Прогноз. Без корректировки'!H14,3)</f>
        <v>0</v>
      </c>
      <c r="I14" s="119">
        <f>ROUND('2. Прогноз. Без корректировки'!I14,3)</f>
        <v>0</v>
      </c>
      <c r="J14" s="119">
        <f>ROUND('2. Прогноз. Без корректировки'!J14,3)</f>
        <v>0</v>
      </c>
      <c r="K14" s="120">
        <f>ROUND('2. Прогноз. Без корректировки'!K14,3)</f>
        <v>0</v>
      </c>
      <c r="L14" s="118">
        <f>ROUND(SUM(H14:K14),3)</f>
        <v>0</v>
      </c>
      <c r="M14" s="116">
        <f>ROUND('2. Прогноз. Без корректировки'!M14,3)</f>
        <v>0</v>
      </c>
      <c r="N14" s="119">
        <f>ROUND('2. Прогноз. Без корректировки'!N14,3)</f>
        <v>0</v>
      </c>
      <c r="O14" s="119">
        <f>ROUND('2. Прогноз. Без корректировки'!O14,3)</f>
        <v>0</v>
      </c>
      <c r="P14" s="120">
        <f>ROUND('2. Прогноз. Без корректировки'!P14,3)</f>
        <v>0</v>
      </c>
      <c r="Q14" s="118">
        <f>ROUND(SUM(M14:P14),3)</f>
        <v>0</v>
      </c>
    </row>
    <row r="15" spans="1:17" x14ac:dyDescent="0.25">
      <c r="A15" s="224" t="s">
        <v>39</v>
      </c>
      <c r="B15" s="230" t="s">
        <v>101</v>
      </c>
      <c r="C15" s="244">
        <f>ROUND(C16+C17,3)</f>
        <v>9.6000000000000002E-2</v>
      </c>
      <c r="D15" s="245">
        <f>ROUND(D16+D17,3)</f>
        <v>8.5000000000000006E-2</v>
      </c>
      <c r="E15" s="245">
        <f>ROUND(E16+E17,3)</f>
        <v>0.08</v>
      </c>
      <c r="F15" s="246">
        <f>ROUND(F16+F17,3)</f>
        <v>8.3000000000000004E-2</v>
      </c>
      <c r="G15" s="126">
        <f>ROUND(SUM(G16:G17),3)</f>
        <v>0.34399999999999997</v>
      </c>
      <c r="H15" s="244">
        <f>ROUND(H16+H17,3)</f>
        <v>9.6000000000000002E-2</v>
      </c>
      <c r="I15" s="245">
        <f>ROUND(I16+I17,3)</f>
        <v>8.5000000000000006E-2</v>
      </c>
      <c r="J15" s="245">
        <f>ROUND(J16+J17,3)</f>
        <v>0.08</v>
      </c>
      <c r="K15" s="246">
        <f>ROUND(K16+K17,3)</f>
        <v>8.3000000000000004E-2</v>
      </c>
      <c r="L15" s="126">
        <f>ROUND(SUM(L16:L17),3)</f>
        <v>0.34399999999999997</v>
      </c>
      <c r="M15" s="244">
        <f>ROUND(M16+M17,3)</f>
        <v>9.6000000000000002E-2</v>
      </c>
      <c r="N15" s="245">
        <f>ROUND(N16+N17,3)</f>
        <v>8.5000000000000006E-2</v>
      </c>
      <c r="O15" s="245">
        <f>ROUND(O16+O17,3)</f>
        <v>0.08</v>
      </c>
      <c r="P15" s="246">
        <f>ROUND(P16+P17,3)</f>
        <v>8.3000000000000004E-2</v>
      </c>
      <c r="Q15" s="126">
        <f>ROUND(SUM(Q16:Q17),3)</f>
        <v>0.34399999999999997</v>
      </c>
    </row>
    <row r="16" spans="1:17" s="3" customFormat="1" outlineLevel="1" x14ac:dyDescent="0.25">
      <c r="A16" s="188" t="s">
        <v>40</v>
      </c>
      <c r="B16" s="177" t="s">
        <v>101</v>
      </c>
      <c r="C16" s="116">
        <f>ROUND('1. Статистика'!N21,3)</f>
        <v>8.5999999999999993E-2</v>
      </c>
      <c r="D16" s="119">
        <f>ROUND('1. Статистика'!O21,3)</f>
        <v>8.6999999999999994E-2</v>
      </c>
      <c r="E16" s="119">
        <f>ROUND('1. Статистика'!P21,3)</f>
        <v>8.1000000000000003E-2</v>
      </c>
      <c r="F16" s="120">
        <f>ROUND('1. Статистика'!Q21,3)</f>
        <v>8.4000000000000005E-2</v>
      </c>
      <c r="G16" s="118">
        <f>ROUND(SUM(C16:F16),3)</f>
        <v>0.33800000000000002</v>
      </c>
      <c r="H16" s="116">
        <f>ROUND(C15,3)</f>
        <v>9.6000000000000002E-2</v>
      </c>
      <c r="I16" s="119">
        <f>ROUND(D15,3)</f>
        <v>8.5000000000000006E-2</v>
      </c>
      <c r="J16" s="119">
        <f>ROUND(E15,3)</f>
        <v>0.08</v>
      </c>
      <c r="K16" s="120">
        <f>ROUND(F15,3)</f>
        <v>8.3000000000000004E-2</v>
      </c>
      <c r="L16" s="118">
        <f>ROUND(SUM(H16:K16),3)</f>
        <v>0.34399999999999997</v>
      </c>
      <c r="M16" s="116">
        <f>ROUND(H15,3)</f>
        <v>9.6000000000000002E-2</v>
      </c>
      <c r="N16" s="119">
        <f>ROUND(I15,3)</f>
        <v>8.5000000000000006E-2</v>
      </c>
      <c r="O16" s="119">
        <f>ROUND(J15,3)</f>
        <v>0.08</v>
      </c>
      <c r="P16" s="120">
        <f>ROUND(K15,3)</f>
        <v>8.3000000000000004E-2</v>
      </c>
      <c r="Q16" s="118">
        <f>ROUND(SUM(M16:P16),3)</f>
        <v>0.34399999999999997</v>
      </c>
    </row>
    <row r="17" spans="1:17" s="3" customFormat="1" outlineLevel="1" x14ac:dyDescent="0.25">
      <c r="A17" s="188" t="s">
        <v>41</v>
      </c>
      <c r="B17" s="177" t="s">
        <v>101</v>
      </c>
      <c r="C17" s="116">
        <f>ROUND('1. Статистика'!C79-C16,3)</f>
        <v>0.01</v>
      </c>
      <c r="D17" s="119">
        <f>ROUND('1. Статистика'!D79-D16,3)</f>
        <v>-2E-3</v>
      </c>
      <c r="E17" s="119">
        <f>ROUND('1. Статистика'!E79-E16,3)</f>
        <v>-1E-3</v>
      </c>
      <c r="F17" s="120">
        <f>ROUND('1. Статистика'!F79-F16,3)</f>
        <v>-1E-3</v>
      </c>
      <c r="G17" s="118">
        <f>ROUND(SUM(C17:F17),3)</f>
        <v>6.0000000000000001E-3</v>
      </c>
      <c r="H17" s="116">
        <f>ROUND('1. Статистика'!G79-H16,3)</f>
        <v>0</v>
      </c>
      <c r="I17" s="119">
        <f>ROUND('1. Статистика'!H79-I16,3)</f>
        <v>0</v>
      </c>
      <c r="J17" s="119">
        <f>ROUND('1. Статистика'!I79-J16,3)</f>
        <v>0</v>
      </c>
      <c r="K17" s="120">
        <f>ROUND('1. Статистика'!J79-K16,3)</f>
        <v>0</v>
      </c>
      <c r="L17" s="118">
        <f>ROUND(SUM(H17:K17),3)</f>
        <v>0</v>
      </c>
      <c r="M17" s="116">
        <f>ROUND('1. Статистика'!K79-M16,3)</f>
        <v>0</v>
      </c>
      <c r="N17" s="119">
        <f>ROUND('1. Статистика'!L79-N16,3)</f>
        <v>0</v>
      </c>
      <c r="O17" s="119">
        <f>ROUND('1. Статистика'!M79-O16,3)</f>
        <v>0</v>
      </c>
      <c r="P17" s="120">
        <f>ROUND('1. Статистика'!N79-P16,3)</f>
        <v>0</v>
      </c>
      <c r="Q17" s="118">
        <f>ROUND(SUM(M17:P17),3)</f>
        <v>0</v>
      </c>
    </row>
    <row r="18" spans="1:17" x14ac:dyDescent="0.25">
      <c r="A18" s="225" t="s">
        <v>37</v>
      </c>
      <c r="B18" s="231" t="s">
        <v>101</v>
      </c>
      <c r="C18" s="247">
        <f t="shared" ref="C18:Q18" si="0">ROUND(C9+C10+C15,3)</f>
        <v>0.312</v>
      </c>
      <c r="D18" s="247">
        <f t="shared" si="0"/>
        <v>0.313</v>
      </c>
      <c r="E18" s="247">
        <f t="shared" si="0"/>
        <v>0.30399999999999999</v>
      </c>
      <c r="F18" s="248">
        <f t="shared" si="0"/>
        <v>0.30199999999999999</v>
      </c>
      <c r="G18" s="121">
        <f t="shared" si="0"/>
        <v>0.56000000000000005</v>
      </c>
      <c r="H18" s="247">
        <f t="shared" si="0"/>
        <v>0.312</v>
      </c>
      <c r="I18" s="247">
        <f t="shared" si="0"/>
        <v>0.313</v>
      </c>
      <c r="J18" s="247">
        <f t="shared" si="0"/>
        <v>0.30399999999999999</v>
      </c>
      <c r="K18" s="248">
        <f t="shared" si="0"/>
        <v>0.30199999999999999</v>
      </c>
      <c r="L18" s="121">
        <f t="shared" si="0"/>
        <v>0.56000000000000005</v>
      </c>
      <c r="M18" s="247">
        <f t="shared" si="0"/>
        <v>0.312</v>
      </c>
      <c r="N18" s="247">
        <f t="shared" si="0"/>
        <v>0.313</v>
      </c>
      <c r="O18" s="247">
        <f t="shared" si="0"/>
        <v>0.30399999999999999</v>
      </c>
      <c r="P18" s="248">
        <f t="shared" si="0"/>
        <v>0.30199999999999999</v>
      </c>
      <c r="Q18" s="121">
        <f t="shared" si="0"/>
        <v>0.56000000000000005</v>
      </c>
    </row>
    <row r="19" spans="1:17" x14ac:dyDescent="0.25">
      <c r="A19" s="226" t="s">
        <v>87</v>
      </c>
      <c r="B19" s="232" t="s">
        <v>101</v>
      </c>
      <c r="C19" s="249">
        <f t="shared" ref="C19:Q19" si="1">ROUND(C20+C21,3)</f>
        <v>6.9000000000000006E-2</v>
      </c>
      <c r="D19" s="249">
        <f t="shared" si="1"/>
        <v>7.2999999999999995E-2</v>
      </c>
      <c r="E19" s="249">
        <f t="shared" si="1"/>
        <v>6.8000000000000005E-2</v>
      </c>
      <c r="F19" s="250">
        <f t="shared" si="1"/>
        <v>6.9000000000000006E-2</v>
      </c>
      <c r="G19" s="122">
        <f t="shared" si="1"/>
        <v>0.27900000000000003</v>
      </c>
      <c r="H19" s="249">
        <f t="shared" si="1"/>
        <v>6.9000000000000006E-2</v>
      </c>
      <c r="I19" s="249">
        <f t="shared" si="1"/>
        <v>7.2999999999999995E-2</v>
      </c>
      <c r="J19" s="249">
        <f t="shared" si="1"/>
        <v>6.8000000000000005E-2</v>
      </c>
      <c r="K19" s="250">
        <f t="shared" si="1"/>
        <v>6.9000000000000006E-2</v>
      </c>
      <c r="L19" s="122">
        <f t="shared" si="1"/>
        <v>0.27900000000000003</v>
      </c>
      <c r="M19" s="249">
        <f t="shared" si="1"/>
        <v>6.9000000000000006E-2</v>
      </c>
      <c r="N19" s="249">
        <f t="shared" si="1"/>
        <v>7.2999999999999995E-2</v>
      </c>
      <c r="O19" s="249">
        <f t="shared" si="1"/>
        <v>6.8000000000000005E-2</v>
      </c>
      <c r="P19" s="250">
        <f t="shared" si="1"/>
        <v>6.9000000000000006E-2</v>
      </c>
      <c r="Q19" s="122">
        <f t="shared" si="1"/>
        <v>0.27900000000000003</v>
      </c>
    </row>
    <row r="20" spans="1:17" s="3" customFormat="1" ht="14.45" customHeight="1" outlineLevel="1" x14ac:dyDescent="0.25">
      <c r="A20" s="80" t="s">
        <v>91</v>
      </c>
      <c r="B20" s="177" t="s">
        <v>101</v>
      </c>
      <c r="C20" s="116">
        <f>ROUND('1. Статистика'!N23,3)</f>
        <v>6.9000000000000006E-2</v>
      </c>
      <c r="D20" s="119">
        <f>ROUND('1. Статистика'!O23,3)</f>
        <v>7.2999999999999995E-2</v>
      </c>
      <c r="E20" s="119">
        <f>ROUND('1. Статистика'!P23,3)</f>
        <v>6.8000000000000005E-2</v>
      </c>
      <c r="F20" s="120">
        <f>ROUND('1. Статистика'!Q23,3)</f>
        <v>6.9000000000000006E-2</v>
      </c>
      <c r="G20" s="118">
        <f t="shared" ref="G20:G26" si="2">ROUND(SUM(C20:F20),3)</f>
        <v>0.27900000000000003</v>
      </c>
      <c r="H20" s="116">
        <f>ROUND(C19,3)</f>
        <v>6.9000000000000006E-2</v>
      </c>
      <c r="I20" s="119">
        <f>ROUND(D19,3)</f>
        <v>7.2999999999999995E-2</v>
      </c>
      <c r="J20" s="119">
        <f>ROUND(E19,3)</f>
        <v>6.8000000000000005E-2</v>
      </c>
      <c r="K20" s="120">
        <f>ROUND(F19,3)</f>
        <v>6.9000000000000006E-2</v>
      </c>
      <c r="L20" s="118">
        <f t="shared" ref="L20:L26" si="3">ROUND(SUM(H20:K20),3)</f>
        <v>0.27900000000000003</v>
      </c>
      <c r="M20" s="116">
        <f>ROUND(H19,3)</f>
        <v>6.9000000000000006E-2</v>
      </c>
      <c r="N20" s="119">
        <f>ROUND(I19,3)</f>
        <v>7.2999999999999995E-2</v>
      </c>
      <c r="O20" s="119">
        <f>ROUND(J19,3)</f>
        <v>6.8000000000000005E-2</v>
      </c>
      <c r="P20" s="120">
        <f>ROUND(K19,3)</f>
        <v>6.9000000000000006E-2</v>
      </c>
      <c r="Q20" s="118">
        <f t="shared" ref="Q20:Q26" si="4">ROUND(SUM(M20:P20),3)</f>
        <v>0.27900000000000003</v>
      </c>
    </row>
    <row r="21" spans="1:17" s="3" customFormat="1" ht="30" outlineLevel="1" x14ac:dyDescent="0.25">
      <c r="A21" s="80" t="s">
        <v>94</v>
      </c>
      <c r="B21" s="177" t="s">
        <v>101</v>
      </c>
      <c r="C21" s="116">
        <f>ROUND('2. Прогноз. Без корректировки'!C21,3)</f>
        <v>0</v>
      </c>
      <c r="D21" s="116">
        <f>ROUND('2. Прогноз. Без корректировки'!D21,3)</f>
        <v>0</v>
      </c>
      <c r="E21" s="116">
        <f>ROUND('2. Прогноз. Без корректировки'!E21,3)</f>
        <v>0</v>
      </c>
      <c r="F21" s="116">
        <f>ROUND('2. Прогноз. Без корректировки'!F21,3)</f>
        <v>0</v>
      </c>
      <c r="G21" s="118">
        <f t="shared" si="2"/>
        <v>0</v>
      </c>
      <c r="H21" s="116">
        <f>ROUND('2. Прогноз. Без корректировки'!H21,3)</f>
        <v>0</v>
      </c>
      <c r="I21" s="116">
        <f>ROUND('2. Прогноз. Без корректировки'!I21,3)</f>
        <v>0</v>
      </c>
      <c r="J21" s="116">
        <f>ROUND('2. Прогноз. Без корректировки'!J21,3)</f>
        <v>0</v>
      </c>
      <c r="K21" s="116">
        <f>ROUND('2. Прогноз. Без корректировки'!K21,3)</f>
        <v>0</v>
      </c>
      <c r="L21" s="118">
        <f t="shared" si="3"/>
        <v>0</v>
      </c>
      <c r="M21" s="116">
        <f>ROUND('2. Прогноз. Без корректировки'!M21,3)</f>
        <v>0</v>
      </c>
      <c r="N21" s="116">
        <f>ROUND('2. Прогноз. Без корректировки'!N21,3)</f>
        <v>0</v>
      </c>
      <c r="O21" s="116">
        <f>ROUND('2. Прогноз. Без корректировки'!O21,3)</f>
        <v>0</v>
      </c>
      <c r="P21" s="116">
        <f>ROUND('2. Прогноз. Без корректировки'!P21,3)</f>
        <v>0</v>
      </c>
      <c r="Q21" s="118">
        <f t="shared" si="4"/>
        <v>0</v>
      </c>
    </row>
    <row r="22" spans="1:17" x14ac:dyDescent="0.25">
      <c r="A22" s="227" t="s">
        <v>93</v>
      </c>
      <c r="B22" s="232" t="s">
        <v>101</v>
      </c>
      <c r="C22" s="249">
        <f>ROUND(C23+C24-C25+C26,3)</f>
        <v>1.4E-2</v>
      </c>
      <c r="D22" s="251">
        <f>ROUND(D23+D24-D25+D26,3)</f>
        <v>1.4E-2</v>
      </c>
      <c r="E22" s="251">
        <f>ROUND(E23+E24-E25+E26,3)</f>
        <v>1.6E-2</v>
      </c>
      <c r="F22" s="252">
        <f>ROUND(F23+F24-F25+F26,3)</f>
        <v>1.6E-2</v>
      </c>
      <c r="G22" s="115">
        <f t="shared" si="2"/>
        <v>0.06</v>
      </c>
      <c r="H22" s="249">
        <f>ROUND(H23+H24-H25+H26,3)</f>
        <v>1.4E-2</v>
      </c>
      <c r="I22" s="251">
        <f>ROUND(I23+I24-I25+I26,3)</f>
        <v>1.4E-2</v>
      </c>
      <c r="J22" s="251">
        <f>ROUND(J23+J24-J25+J26,3)</f>
        <v>1.6E-2</v>
      </c>
      <c r="K22" s="252">
        <f>ROUND(K23+K24-K25+K26,3)</f>
        <v>1.6E-2</v>
      </c>
      <c r="L22" s="115">
        <f t="shared" si="3"/>
        <v>0.06</v>
      </c>
      <c r="M22" s="249">
        <f>ROUND(M23+M24-M25+M26,3)</f>
        <v>1.4E-2</v>
      </c>
      <c r="N22" s="251">
        <f>ROUND(N23+N24-N25+N26,3)</f>
        <v>1.4E-2</v>
      </c>
      <c r="O22" s="251">
        <f>ROUND(O23+O24-O25+O26,3)</f>
        <v>1.6E-2</v>
      </c>
      <c r="P22" s="252">
        <f>ROUND(P23+P24-P25+P26,3)</f>
        <v>1.6E-2</v>
      </c>
      <c r="Q22" s="115">
        <f t="shared" si="4"/>
        <v>0.06</v>
      </c>
    </row>
    <row r="23" spans="1:17" s="3" customFormat="1" ht="14.45" customHeight="1" outlineLevel="1" x14ac:dyDescent="0.25">
      <c r="A23" s="80" t="s">
        <v>92</v>
      </c>
      <c r="B23" s="177" t="s">
        <v>101</v>
      </c>
      <c r="C23" s="116">
        <f>ROUND('1. Статистика'!N24,3)</f>
        <v>1.6E-2</v>
      </c>
      <c r="D23" s="119">
        <f>ROUND('1. Статистика'!O24,3)</f>
        <v>1.6E-2</v>
      </c>
      <c r="E23" s="119">
        <f>ROUND('1. Статистика'!P24,3)</f>
        <v>1.6E-2</v>
      </c>
      <c r="F23" s="120">
        <f>ROUND('1. Статистика'!Q24,3)</f>
        <v>1.6E-2</v>
      </c>
      <c r="G23" s="118">
        <f t="shared" si="2"/>
        <v>6.4000000000000001E-2</v>
      </c>
      <c r="H23" s="116">
        <f>ROUND(C22,3)</f>
        <v>1.4E-2</v>
      </c>
      <c r="I23" s="119">
        <f>ROUND(D22,3)</f>
        <v>1.4E-2</v>
      </c>
      <c r="J23" s="119">
        <f>ROUND(E22,3)</f>
        <v>1.6E-2</v>
      </c>
      <c r="K23" s="120">
        <f>ROUND(F22,3)</f>
        <v>1.6E-2</v>
      </c>
      <c r="L23" s="118">
        <f t="shared" si="3"/>
        <v>0.06</v>
      </c>
      <c r="M23" s="116">
        <f>ROUND(H22,3)</f>
        <v>1.4E-2</v>
      </c>
      <c r="N23" s="119">
        <f>ROUND(I22,3)</f>
        <v>1.4E-2</v>
      </c>
      <c r="O23" s="119">
        <f>ROUND(J22,3)</f>
        <v>1.6E-2</v>
      </c>
      <c r="P23" s="120">
        <f>ROUND(K22,3)</f>
        <v>1.6E-2</v>
      </c>
      <c r="Q23" s="118">
        <f t="shared" si="4"/>
        <v>0.06</v>
      </c>
    </row>
    <row r="24" spans="1:17" s="3" customFormat="1" ht="30" outlineLevel="1" x14ac:dyDescent="0.25">
      <c r="A24" s="80" t="s">
        <v>43</v>
      </c>
      <c r="B24" s="177" t="s">
        <v>101</v>
      </c>
      <c r="C24" s="116">
        <f>ROUND('1. Статистика'!D13,3)</f>
        <v>0</v>
      </c>
      <c r="D24" s="116">
        <f>ROUND('1. Статистика'!E13,3)</f>
        <v>0</v>
      </c>
      <c r="E24" s="116">
        <f>ROUND('1. Статистика'!F13,3)</f>
        <v>0</v>
      </c>
      <c r="F24" s="117">
        <f>ROUND('1. Статистика'!G13,3)</f>
        <v>0</v>
      </c>
      <c r="G24" s="118">
        <f t="shared" si="2"/>
        <v>0</v>
      </c>
      <c r="H24" s="116">
        <f>ROUND('1. Статистика'!I13,3)</f>
        <v>0</v>
      </c>
      <c r="I24" s="116">
        <f>ROUND('1. Статистика'!J13,3)</f>
        <v>0</v>
      </c>
      <c r="J24" s="116">
        <f>ROUND('1. Статистика'!K13,3)</f>
        <v>0</v>
      </c>
      <c r="K24" s="117">
        <f>ROUND('1. Статистика'!L13,3)</f>
        <v>0</v>
      </c>
      <c r="L24" s="118">
        <f t="shared" si="3"/>
        <v>0</v>
      </c>
      <c r="M24" s="116">
        <f>ROUND('1. Статистика'!N13,3)</f>
        <v>0</v>
      </c>
      <c r="N24" s="116">
        <f>ROUND('1. Статистика'!O13,3)</f>
        <v>0</v>
      </c>
      <c r="O24" s="116">
        <f>ROUND('1. Статистика'!P13,3)</f>
        <v>0</v>
      </c>
      <c r="P24" s="117">
        <f>ROUND('1. Статистика'!Q13,3)</f>
        <v>0</v>
      </c>
      <c r="Q24" s="118">
        <f t="shared" si="4"/>
        <v>0</v>
      </c>
    </row>
    <row r="25" spans="1:17" s="3" customFormat="1" ht="30" outlineLevel="1" x14ac:dyDescent="0.25">
      <c r="A25" s="80" t="s">
        <v>44</v>
      </c>
      <c r="B25" s="177" t="s">
        <v>101</v>
      </c>
      <c r="C25" s="116">
        <f>ROUND('2. Прогноз. Без корректировки'!C25,3)</f>
        <v>2E-3</v>
      </c>
      <c r="D25" s="119">
        <f>ROUND('2. Прогноз. Без корректировки'!D25,3)</f>
        <v>2E-3</v>
      </c>
      <c r="E25" s="119">
        <f>ROUND('2. Прогноз. Без корректировки'!E25,3)</f>
        <v>0</v>
      </c>
      <c r="F25" s="120">
        <f>ROUND('2. Прогноз. Без корректировки'!F25,3)</f>
        <v>0</v>
      </c>
      <c r="G25" s="118">
        <f t="shared" si="2"/>
        <v>4.0000000000000001E-3</v>
      </c>
      <c r="H25" s="116">
        <f>ROUND('2. Прогноз. Без корректировки'!H25,3)</f>
        <v>0</v>
      </c>
      <c r="I25" s="119">
        <f>ROUND('2. Прогноз. Без корректировки'!I25,3)</f>
        <v>0</v>
      </c>
      <c r="J25" s="119">
        <f>ROUND('2. Прогноз. Без корректировки'!J25,3)</f>
        <v>0</v>
      </c>
      <c r="K25" s="120">
        <f>ROUND('2. Прогноз. Без корректировки'!K25,3)</f>
        <v>0</v>
      </c>
      <c r="L25" s="118">
        <f t="shared" si="3"/>
        <v>0</v>
      </c>
      <c r="M25" s="116">
        <f>ROUND('2. Прогноз. Без корректировки'!M25,3)</f>
        <v>0</v>
      </c>
      <c r="N25" s="119">
        <f>ROUND('2. Прогноз. Без корректировки'!N25,3)</f>
        <v>0</v>
      </c>
      <c r="O25" s="119">
        <f>ROUND('2. Прогноз. Без корректировки'!O25,3)</f>
        <v>0</v>
      </c>
      <c r="P25" s="120">
        <f>ROUND('2. Прогноз. Без корректировки'!P25,3)</f>
        <v>0</v>
      </c>
      <c r="Q25" s="118">
        <f t="shared" si="4"/>
        <v>0</v>
      </c>
    </row>
    <row r="26" spans="1:17" s="3" customFormat="1" ht="30" outlineLevel="1" x14ac:dyDescent="0.25">
      <c r="A26" s="80" t="s">
        <v>45</v>
      </c>
      <c r="B26" s="177" t="s">
        <v>101</v>
      </c>
      <c r="C26" s="116">
        <f>ROUND('2. Прогноз. Без корректировки'!C26,3)</f>
        <v>0</v>
      </c>
      <c r="D26" s="119">
        <f>ROUND('2. Прогноз. Без корректировки'!D26,3)</f>
        <v>0</v>
      </c>
      <c r="E26" s="119">
        <f>ROUND('2. Прогноз. Без корректировки'!E26,3)</f>
        <v>0</v>
      </c>
      <c r="F26" s="120">
        <f>ROUND('2. Прогноз. Без корректировки'!F26,3)</f>
        <v>0</v>
      </c>
      <c r="G26" s="118">
        <f t="shared" si="2"/>
        <v>0</v>
      </c>
      <c r="H26" s="116">
        <f>ROUND('2. Прогноз. Без корректировки'!H26,3)</f>
        <v>0</v>
      </c>
      <c r="I26" s="119">
        <f>ROUND('2. Прогноз. Без корректировки'!I26,3)</f>
        <v>0</v>
      </c>
      <c r="J26" s="119">
        <f>ROUND('2. Прогноз. Без корректировки'!J26,3)</f>
        <v>0</v>
      </c>
      <c r="K26" s="120">
        <f>ROUND('2. Прогноз. Без корректировки'!K26,3)</f>
        <v>0</v>
      </c>
      <c r="L26" s="118">
        <f t="shared" si="3"/>
        <v>0</v>
      </c>
      <c r="M26" s="116">
        <f>ROUND('2. Прогноз. Без корректировки'!M26,3)</f>
        <v>0</v>
      </c>
      <c r="N26" s="119">
        <f>ROUND('2. Прогноз. Без корректировки'!N26,3)</f>
        <v>0</v>
      </c>
      <c r="O26" s="119">
        <f>ROUND('2. Прогноз. Без корректировки'!O26,3)</f>
        <v>0</v>
      </c>
      <c r="P26" s="120">
        <f>ROUND('2. Прогноз. Без корректировки'!P26,3)</f>
        <v>0</v>
      </c>
      <c r="Q26" s="118">
        <f t="shared" si="4"/>
        <v>0</v>
      </c>
    </row>
    <row r="27" spans="1:17" x14ac:dyDescent="0.25">
      <c r="A27" s="224" t="s">
        <v>88</v>
      </c>
      <c r="B27" s="233" t="s">
        <v>101</v>
      </c>
      <c r="C27" s="253">
        <f>ROUND('2. Прогноз. Без корректировки'!C27,3)</f>
        <v>0</v>
      </c>
      <c r="D27" s="254">
        <f>ROUND('2. Прогноз. Без корректировки'!D27,3)</f>
        <v>1E-3</v>
      </c>
      <c r="E27" s="254">
        <f>ROUND('2. Прогноз. Без корректировки'!E27,3)</f>
        <v>0</v>
      </c>
      <c r="F27" s="255">
        <f>ROUND('2. Прогноз. Без корректировки'!F27,3)</f>
        <v>0</v>
      </c>
      <c r="G27" s="115">
        <f>ROUND('2. Прогноз. Без корректировки'!G27,3)</f>
        <v>1E-3</v>
      </c>
      <c r="H27" s="253">
        <f>ROUND('2. Прогноз. Без корректировки'!H27,3)</f>
        <v>0</v>
      </c>
      <c r="I27" s="254">
        <f>ROUND('2. Прогноз. Без корректировки'!I27,3)</f>
        <v>1E-3</v>
      </c>
      <c r="J27" s="254">
        <f>ROUND('2. Прогноз. Без корректировки'!J27,3)</f>
        <v>0</v>
      </c>
      <c r="K27" s="255">
        <f>ROUND('2. Прогноз. Без корректировки'!K27,3)</f>
        <v>0</v>
      </c>
      <c r="L27" s="115">
        <f>ROUND('2. Прогноз. Без корректировки'!L27,3)</f>
        <v>1E-3</v>
      </c>
      <c r="M27" s="253">
        <f>ROUND('2. Прогноз. Без корректировки'!M27,3)</f>
        <v>0</v>
      </c>
      <c r="N27" s="254">
        <f>ROUND('2. Прогноз. Без корректировки'!N27,3)</f>
        <v>1E-3</v>
      </c>
      <c r="O27" s="254">
        <f>ROUND('2. Прогноз. Без корректировки'!O27,3)</f>
        <v>0</v>
      </c>
      <c r="P27" s="255">
        <f>ROUND('2. Прогноз. Без корректировки'!P27,3)</f>
        <v>0</v>
      </c>
      <c r="Q27" s="115">
        <f>ROUND('2. Прогноз. Без корректировки'!Q27,3)</f>
        <v>1E-3</v>
      </c>
    </row>
    <row r="28" spans="1:17" outlineLevel="1" x14ac:dyDescent="0.25">
      <c r="A28" s="188" t="s">
        <v>46</v>
      </c>
      <c r="B28" s="177" t="s">
        <v>107</v>
      </c>
      <c r="C28" s="285"/>
      <c r="D28" s="286"/>
      <c r="E28" s="286"/>
      <c r="F28" s="287"/>
      <c r="G28" s="262">
        <f>ROUND('2. Прогноз. Без корректировки'!G28,3)</f>
        <v>2E-3</v>
      </c>
      <c r="H28" s="285"/>
      <c r="I28" s="286"/>
      <c r="J28" s="286"/>
      <c r="K28" s="287"/>
      <c r="L28" s="262">
        <f>ROUND('2. Прогноз. Без корректировки'!L28,3)</f>
        <v>2E-3</v>
      </c>
      <c r="M28" s="285"/>
      <c r="N28" s="286"/>
      <c r="O28" s="286"/>
      <c r="P28" s="287"/>
      <c r="Q28" s="262">
        <f>ROUND('2. Прогноз. Без корректировки'!Q28,3)</f>
        <v>2E-3</v>
      </c>
    </row>
    <row r="29" spans="1:17" x14ac:dyDescent="0.25">
      <c r="A29" s="224" t="s">
        <v>89</v>
      </c>
      <c r="B29" s="235" t="s">
        <v>101</v>
      </c>
      <c r="C29" s="249">
        <f>ROUND(C30+C31,3)</f>
        <v>0</v>
      </c>
      <c r="D29" s="251">
        <f>ROUND(D30+D31,3)</f>
        <v>0</v>
      </c>
      <c r="E29" s="251">
        <f>ROUND(E30+E31,3)</f>
        <v>0</v>
      </c>
      <c r="F29" s="252">
        <f>ROUND(F30+F31,3)</f>
        <v>0</v>
      </c>
      <c r="G29" s="122">
        <f>ROUND(SUM(G30:G31),3)</f>
        <v>0</v>
      </c>
      <c r="H29" s="249">
        <f>ROUND(H30+H31,3)</f>
        <v>0</v>
      </c>
      <c r="I29" s="251">
        <f>ROUND(I30+I31,3)</f>
        <v>0</v>
      </c>
      <c r="J29" s="251">
        <f>ROUND(J30+J31,3)</f>
        <v>0</v>
      </c>
      <c r="K29" s="252">
        <f>ROUND(K30+K31,3)</f>
        <v>0</v>
      </c>
      <c r="L29" s="122">
        <f>ROUND(SUM(L30:L31),3)</f>
        <v>0</v>
      </c>
      <c r="M29" s="249">
        <f>ROUND(M30+M31,3)</f>
        <v>0</v>
      </c>
      <c r="N29" s="251">
        <f>ROUND(N30+N31,3)</f>
        <v>0</v>
      </c>
      <c r="O29" s="251">
        <f>ROUND(O30+O31,3)</f>
        <v>0</v>
      </c>
      <c r="P29" s="252">
        <f>ROUND(P30+P31,3)</f>
        <v>0</v>
      </c>
      <c r="Q29" s="122">
        <f>ROUND(SUM(Q30:Q31),3)</f>
        <v>0</v>
      </c>
    </row>
    <row r="30" spans="1:17" s="3" customFormat="1" outlineLevel="1" x14ac:dyDescent="0.25">
      <c r="A30" s="188" t="s">
        <v>47</v>
      </c>
      <c r="B30" s="177" t="s">
        <v>101</v>
      </c>
      <c r="C30" s="116">
        <f>ROUND('1. Статистика'!N26,3)</f>
        <v>0</v>
      </c>
      <c r="D30" s="119">
        <f>ROUND('1. Статистика'!O26,3)</f>
        <v>0</v>
      </c>
      <c r="E30" s="119">
        <f>ROUND('1. Статистика'!P26,3)</f>
        <v>0</v>
      </c>
      <c r="F30" s="120">
        <f>ROUND('1. Статистика'!Q26,3)</f>
        <v>0</v>
      </c>
      <c r="G30" s="118">
        <f>ROUND(SUM(C30:F30),3)</f>
        <v>0</v>
      </c>
      <c r="H30" s="116">
        <f>ROUND(C29,3)</f>
        <v>0</v>
      </c>
      <c r="I30" s="119">
        <f>ROUND(D29,3)</f>
        <v>0</v>
      </c>
      <c r="J30" s="119">
        <f>ROUND(E29,3)</f>
        <v>0</v>
      </c>
      <c r="K30" s="120">
        <f>ROUND(F29,3)</f>
        <v>0</v>
      </c>
      <c r="L30" s="118">
        <f>ROUND(SUM(H30:K30),3)</f>
        <v>0</v>
      </c>
      <c r="M30" s="116">
        <f>ROUND(H29,3)</f>
        <v>0</v>
      </c>
      <c r="N30" s="119">
        <f>ROUND(I29,3)</f>
        <v>0</v>
      </c>
      <c r="O30" s="119">
        <f>ROUND(J29,3)</f>
        <v>0</v>
      </c>
      <c r="P30" s="120">
        <f>ROUND(K29,3)</f>
        <v>0</v>
      </c>
      <c r="Q30" s="118">
        <f>ROUND(SUM(M30:P30),3)</f>
        <v>0</v>
      </c>
    </row>
    <row r="31" spans="1:17" s="3" customFormat="1" outlineLevel="1" x14ac:dyDescent="0.25">
      <c r="A31" s="188" t="s">
        <v>48</v>
      </c>
      <c r="B31" s="177" t="s">
        <v>101</v>
      </c>
      <c r="C31" s="116">
        <f>ROUND('1. Статистика'!C80-C30,3)</f>
        <v>0</v>
      </c>
      <c r="D31" s="119">
        <f>ROUND('1. Статистика'!D80-D30,3)</f>
        <v>0</v>
      </c>
      <c r="E31" s="119">
        <f>ROUND('1. Статистика'!E80-E30,3)</f>
        <v>0</v>
      </c>
      <c r="F31" s="120">
        <f>ROUND('1. Статистика'!F80-F30,3)</f>
        <v>0</v>
      </c>
      <c r="G31" s="118">
        <f>ROUND(SUM(C31:F31),3)</f>
        <v>0</v>
      </c>
      <c r="H31" s="116">
        <f>ROUND('1. Статистика'!G80-H30,3)</f>
        <v>0</v>
      </c>
      <c r="I31" s="119">
        <f>ROUND('1. Статистика'!H80-I30,3)</f>
        <v>0</v>
      </c>
      <c r="J31" s="119">
        <f>ROUND('1. Статистика'!I80-J30,3)</f>
        <v>0</v>
      </c>
      <c r="K31" s="120">
        <f>ROUND('1. Статистика'!J80-K30,3)</f>
        <v>0</v>
      </c>
      <c r="L31" s="118">
        <f>ROUND(SUM(H31:K31),3)</f>
        <v>0</v>
      </c>
      <c r="M31" s="116">
        <f>ROUND('1. Статистика'!K80-M30,3)</f>
        <v>0</v>
      </c>
      <c r="N31" s="119">
        <f>ROUND('1. Статистика'!L80-N30,3)</f>
        <v>0</v>
      </c>
      <c r="O31" s="119">
        <f>ROUND('1. Статистика'!M80-O30,3)</f>
        <v>0</v>
      </c>
      <c r="P31" s="120">
        <f>ROUND('1. Статистика'!N80-P30,3)</f>
        <v>0</v>
      </c>
      <c r="Q31" s="118">
        <f>ROUND(SUM(M31:P31),3)</f>
        <v>0</v>
      </c>
    </row>
    <row r="32" spans="1:17" x14ac:dyDescent="0.25">
      <c r="A32" s="224" t="s">
        <v>90</v>
      </c>
      <c r="B32" s="235" t="s">
        <v>101</v>
      </c>
      <c r="C32" s="241">
        <f>ROUND('2. Прогноз. Без корректировки'!C32,3)</f>
        <v>1E-3</v>
      </c>
      <c r="D32" s="241">
        <f>ROUND('2. Прогноз. Без корректировки'!D32,3)</f>
        <v>1E-3</v>
      </c>
      <c r="E32" s="241">
        <f>ROUND('2. Прогноз. Без корректировки'!E32,3)</f>
        <v>1E-3</v>
      </c>
      <c r="F32" s="257">
        <f>ROUND('2. Прогноз. Без корректировки'!F32,3)</f>
        <v>1E-3</v>
      </c>
      <c r="G32" s="115">
        <f>ROUND('2. Прогноз. Без корректировки'!G32,3)</f>
        <v>4.0000000000000001E-3</v>
      </c>
      <c r="H32" s="241">
        <f>ROUND('2. Прогноз. Без корректировки'!H32,3)</f>
        <v>1E-3</v>
      </c>
      <c r="I32" s="241">
        <f>ROUND('2. Прогноз. Без корректировки'!I32,3)</f>
        <v>1E-3</v>
      </c>
      <c r="J32" s="241">
        <f>ROUND('2. Прогноз. Без корректировки'!J32,3)</f>
        <v>1E-3</v>
      </c>
      <c r="K32" s="257">
        <f>ROUND('2. Прогноз. Без корректировки'!K32,3)</f>
        <v>1E-3</v>
      </c>
      <c r="L32" s="115">
        <f>ROUND('2. Прогноз. Без корректировки'!L32,3)</f>
        <v>4.0000000000000001E-3</v>
      </c>
      <c r="M32" s="241">
        <f>ROUND('2. Прогноз. Без корректировки'!M32,3)</f>
        <v>1E-3</v>
      </c>
      <c r="N32" s="241">
        <f>ROUND('2. Прогноз. Без корректировки'!N32,3)</f>
        <v>1E-3</v>
      </c>
      <c r="O32" s="241">
        <f>ROUND('2. Прогноз. Без корректировки'!O32,3)</f>
        <v>1E-3</v>
      </c>
      <c r="P32" s="257">
        <f>ROUND('2. Прогноз. Без корректировки'!P32,3)</f>
        <v>1E-3</v>
      </c>
      <c r="Q32" s="115">
        <f>ROUND('2. Прогноз. Без корректировки'!Q32,3)</f>
        <v>4.0000000000000001E-3</v>
      </c>
    </row>
    <row r="33" spans="1:17" s="3" customFormat="1" ht="14.45" customHeight="1" outlineLevel="1" x14ac:dyDescent="0.25">
      <c r="A33" s="80" t="s">
        <v>100</v>
      </c>
      <c r="B33" s="177" t="s">
        <v>130</v>
      </c>
      <c r="C33" s="256"/>
      <c r="D33" s="256"/>
      <c r="E33" s="256"/>
      <c r="F33" s="258"/>
      <c r="G33" s="262">
        <f>ROUND('2. Прогноз. Без корректировки'!G33,3)</f>
        <v>4.0000000000000001E-3</v>
      </c>
      <c r="H33" s="256"/>
      <c r="I33" s="256"/>
      <c r="J33" s="256"/>
      <c r="K33" s="258"/>
      <c r="L33" s="262">
        <f>ROUND('2. Прогноз. Без корректировки'!L33,3)</f>
        <v>4.0000000000000001E-3</v>
      </c>
      <c r="M33" s="256"/>
      <c r="N33" s="256"/>
      <c r="O33" s="256"/>
      <c r="P33" s="258"/>
      <c r="Q33" s="262">
        <f>ROUND('2. Прогноз. Без корректировки'!Q33,3)</f>
        <v>4.0000000000000001E-3</v>
      </c>
    </row>
    <row r="34" spans="1:17" s="3" customFormat="1" ht="14.45" customHeight="1" outlineLevel="1" x14ac:dyDescent="0.25">
      <c r="A34" s="188" t="s">
        <v>128</v>
      </c>
      <c r="B34" s="177" t="s">
        <v>102</v>
      </c>
      <c r="C34" s="256"/>
      <c r="D34" s="256"/>
      <c r="E34" s="256"/>
      <c r="F34" s="258"/>
      <c r="G34" s="262">
        <f>ROUND('2. Прогноз. Без корректировки'!G34,3)</f>
        <v>1012</v>
      </c>
      <c r="H34" s="256"/>
      <c r="I34" s="256"/>
      <c r="J34" s="256"/>
      <c r="K34" s="258"/>
      <c r="L34" s="262">
        <f>ROUND('2. Прогноз. Без корректировки'!L34,3)</f>
        <v>1010</v>
      </c>
      <c r="M34" s="256"/>
      <c r="N34" s="256"/>
      <c r="O34" s="256"/>
      <c r="P34" s="258"/>
      <c r="Q34" s="262">
        <f>ROUND('2. Прогноз. Без корректировки'!Q34,3)</f>
        <v>1008.4</v>
      </c>
    </row>
    <row r="35" spans="1:17" x14ac:dyDescent="0.25">
      <c r="A35" s="225" t="s">
        <v>42</v>
      </c>
      <c r="B35" s="231" t="s">
        <v>101</v>
      </c>
      <c r="C35" s="247">
        <f t="shared" ref="C35:Q35" si="5">ROUND(C19+C22+C29+C32+C27,3)</f>
        <v>8.4000000000000005E-2</v>
      </c>
      <c r="D35" s="247">
        <f t="shared" si="5"/>
        <v>8.8999999999999996E-2</v>
      </c>
      <c r="E35" s="247">
        <f t="shared" si="5"/>
        <v>8.5000000000000006E-2</v>
      </c>
      <c r="F35" s="248">
        <f t="shared" si="5"/>
        <v>8.5999999999999993E-2</v>
      </c>
      <c r="G35" s="121">
        <f t="shared" si="5"/>
        <v>0.34399999999999997</v>
      </c>
      <c r="H35" s="247">
        <f t="shared" si="5"/>
        <v>8.4000000000000005E-2</v>
      </c>
      <c r="I35" s="247">
        <f t="shared" si="5"/>
        <v>8.8999999999999996E-2</v>
      </c>
      <c r="J35" s="247">
        <f t="shared" si="5"/>
        <v>8.5000000000000006E-2</v>
      </c>
      <c r="K35" s="248">
        <f t="shared" si="5"/>
        <v>8.5999999999999993E-2</v>
      </c>
      <c r="L35" s="121">
        <f t="shared" si="5"/>
        <v>0.34399999999999997</v>
      </c>
      <c r="M35" s="247">
        <f t="shared" si="5"/>
        <v>8.4000000000000005E-2</v>
      </c>
      <c r="N35" s="247">
        <f t="shared" si="5"/>
        <v>8.8999999999999996E-2</v>
      </c>
      <c r="O35" s="247">
        <f t="shared" si="5"/>
        <v>8.5000000000000006E-2</v>
      </c>
      <c r="P35" s="248">
        <f t="shared" si="5"/>
        <v>8.5999999999999993E-2</v>
      </c>
      <c r="Q35" s="121">
        <f t="shared" si="5"/>
        <v>0.34399999999999997</v>
      </c>
    </row>
    <row r="36" spans="1:17" ht="15.75" thickBot="1" x14ac:dyDescent="0.3">
      <c r="A36" s="228" t="s">
        <v>49</v>
      </c>
      <c r="B36" s="236" t="s">
        <v>101</v>
      </c>
      <c r="C36" s="259">
        <f t="shared" ref="C36:Q36" si="6">ROUND(C18-C35,3)</f>
        <v>0.22800000000000001</v>
      </c>
      <c r="D36" s="260">
        <f t="shared" si="6"/>
        <v>0.224</v>
      </c>
      <c r="E36" s="260">
        <f t="shared" si="6"/>
        <v>0.219</v>
      </c>
      <c r="F36" s="261">
        <f t="shared" si="6"/>
        <v>0.216</v>
      </c>
      <c r="G36" s="125">
        <f t="shared" si="6"/>
        <v>0.216</v>
      </c>
      <c r="H36" s="259">
        <f t="shared" si="6"/>
        <v>0.22800000000000001</v>
      </c>
      <c r="I36" s="260">
        <f t="shared" si="6"/>
        <v>0.224</v>
      </c>
      <c r="J36" s="260">
        <f t="shared" si="6"/>
        <v>0.219</v>
      </c>
      <c r="K36" s="261">
        <f t="shared" si="6"/>
        <v>0.216</v>
      </c>
      <c r="L36" s="125">
        <f t="shared" si="6"/>
        <v>0.216</v>
      </c>
      <c r="M36" s="259">
        <f t="shared" si="6"/>
        <v>0.22800000000000001</v>
      </c>
      <c r="N36" s="260">
        <f t="shared" si="6"/>
        <v>0.224</v>
      </c>
      <c r="O36" s="260">
        <f t="shared" si="6"/>
        <v>0.219</v>
      </c>
      <c r="P36" s="261">
        <f t="shared" si="6"/>
        <v>0.216</v>
      </c>
      <c r="Q36" s="125">
        <f t="shared" si="6"/>
        <v>0.216</v>
      </c>
    </row>
    <row r="37" spans="1:17" x14ac:dyDescent="0.25">
      <c r="A37" s="11"/>
      <c r="B37" s="19"/>
      <c r="C37" s="34"/>
      <c r="D37" s="34"/>
      <c r="E37" s="34"/>
      <c r="F37" s="34"/>
      <c r="G37" s="34"/>
      <c r="H37" s="34"/>
      <c r="I37" s="34"/>
      <c r="J37" s="34"/>
      <c r="K37" s="34"/>
      <c r="L37" s="98"/>
      <c r="M37" s="34"/>
      <c r="N37" s="34"/>
      <c r="O37" s="34"/>
      <c r="P37" s="34"/>
      <c r="Q37" s="34"/>
    </row>
    <row r="38" spans="1:17" x14ac:dyDescent="0.25">
      <c r="A38" s="11"/>
      <c r="B38" s="1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5">
      <c r="A39" s="237" t="s">
        <v>78</v>
      </c>
      <c r="B39" s="19"/>
      <c r="C39" s="263">
        <f t="shared" ref="C39:Q39" si="7">ROUND(C18-C35-C36,3)</f>
        <v>0</v>
      </c>
      <c r="D39" s="263">
        <f t="shared" si="7"/>
        <v>0</v>
      </c>
      <c r="E39" s="263">
        <f t="shared" si="7"/>
        <v>0</v>
      </c>
      <c r="F39" s="263">
        <f t="shared" si="7"/>
        <v>0</v>
      </c>
      <c r="G39" s="264">
        <f t="shared" si="7"/>
        <v>0</v>
      </c>
      <c r="H39" s="263">
        <f t="shared" si="7"/>
        <v>0</v>
      </c>
      <c r="I39" s="263">
        <f t="shared" si="7"/>
        <v>0</v>
      </c>
      <c r="J39" s="263">
        <f t="shared" si="7"/>
        <v>0</v>
      </c>
      <c r="K39" s="263">
        <f t="shared" si="7"/>
        <v>0</v>
      </c>
      <c r="L39" s="264">
        <f t="shared" si="7"/>
        <v>0</v>
      </c>
      <c r="M39" s="263">
        <f t="shared" si="7"/>
        <v>0</v>
      </c>
      <c r="N39" s="263">
        <f t="shared" si="7"/>
        <v>0</v>
      </c>
      <c r="O39" s="263">
        <f t="shared" si="7"/>
        <v>0</v>
      </c>
      <c r="P39" s="263">
        <f t="shared" si="7"/>
        <v>0</v>
      </c>
      <c r="Q39" s="264">
        <f t="shared" si="7"/>
        <v>0</v>
      </c>
    </row>
    <row r="40" spans="1:17" x14ac:dyDescent="0.25">
      <c r="A40" s="31"/>
      <c r="B40" s="1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</row>
    <row r="41" spans="1:17" x14ac:dyDescent="0.25">
      <c r="A41" s="11"/>
      <c r="B41" s="1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</row>
    <row r="42" spans="1:17" x14ac:dyDescent="0.25">
      <c r="A42" s="237" t="s">
        <v>50</v>
      </c>
      <c r="B42" s="19"/>
      <c r="C42" s="263">
        <f t="shared" ref="C42:Q42" si="8">ROUND(C9+C10+C15-C19-C22-C27-C29-C32-C36,3)</f>
        <v>0</v>
      </c>
      <c r="D42" s="263">
        <f t="shared" si="8"/>
        <v>0</v>
      </c>
      <c r="E42" s="263">
        <f t="shared" si="8"/>
        <v>0</v>
      </c>
      <c r="F42" s="263">
        <f t="shared" si="8"/>
        <v>0</v>
      </c>
      <c r="G42" s="264">
        <f t="shared" si="8"/>
        <v>0</v>
      </c>
      <c r="H42" s="263">
        <f t="shared" si="8"/>
        <v>0</v>
      </c>
      <c r="I42" s="263">
        <f t="shared" si="8"/>
        <v>0</v>
      </c>
      <c r="J42" s="263">
        <f t="shared" si="8"/>
        <v>0</v>
      </c>
      <c r="K42" s="263">
        <f t="shared" si="8"/>
        <v>0</v>
      </c>
      <c r="L42" s="264">
        <f t="shared" si="8"/>
        <v>0</v>
      </c>
      <c r="M42" s="263">
        <f t="shared" si="8"/>
        <v>0</v>
      </c>
      <c r="N42" s="263">
        <f t="shared" si="8"/>
        <v>0</v>
      </c>
      <c r="O42" s="263">
        <f t="shared" si="8"/>
        <v>0</v>
      </c>
      <c r="P42" s="263">
        <f t="shared" si="8"/>
        <v>0</v>
      </c>
      <c r="Q42" s="264">
        <f t="shared" si="8"/>
        <v>0</v>
      </c>
    </row>
  </sheetData>
  <sheetProtection algorithmName="SHA-512" hashValue="Pzp9MG+hNH9uew7sj0ZHnuilaCHjgidNZkOx7IsH/R2a2MDJSRfbbKzQ3G+lyrPzQNA98o0Wd9S0LT900pIrfQ==" saltValue="pWPufNMaqG+LsHJ99Qi8LA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9" type="noConversion"/>
  <dataValidations count="3">
    <dataValidation type="decimal" operator="greaterThan" allowBlank="1" showInputMessage="1" showErrorMessage="1" sqref="H11:K14 C12:F14 H33:K34 Q27 M11:P14 G27 L27 C17:F17 H17:K17 M17:P17 C33:F34 H20:K31 D19:Q19 C19:C31 M33:P34 D20:F31 M20:P31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15:G17 L15:L17 Q15:Q17">
      <formula1>-1000000000</formula1>
    </dataValidation>
    <dataValidation operator="greaterThan" allowBlank="1" showInputMessage="1" showErrorMessage="1" sqref="C11:F11 C18:Q18 C32:Q32 L33:L34 Q33:Q34"/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0"/>
  <sheetViews>
    <sheetView zoomScaleNormal="100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140625" bestFit="1" customWidth="1"/>
  </cols>
  <sheetData>
    <row r="1" spans="1:18" x14ac:dyDescent="0.25">
      <c r="A1" s="194"/>
      <c r="B1" s="265" t="s">
        <v>63</v>
      </c>
      <c r="C1" s="265" t="s">
        <v>64</v>
      </c>
      <c r="D1" s="265" t="s">
        <v>65</v>
      </c>
      <c r="E1" s="265" t="s">
        <v>66</v>
      </c>
      <c r="F1" s="265" t="s">
        <v>67</v>
      </c>
      <c r="G1" s="265" t="s">
        <v>68</v>
      </c>
      <c r="H1" s="265" t="s">
        <v>69</v>
      </c>
      <c r="I1" s="265" t="s">
        <v>70</v>
      </c>
      <c r="J1" s="265" t="s">
        <v>71</v>
      </c>
      <c r="K1" s="265" t="s">
        <v>72</v>
      </c>
      <c r="L1" s="265" t="s">
        <v>73</v>
      </c>
      <c r="M1" s="265" t="s">
        <v>74</v>
      </c>
      <c r="N1" s="265" t="s">
        <v>75</v>
      </c>
      <c r="O1" s="265" t="s">
        <v>76</v>
      </c>
      <c r="P1" s="265" t="s">
        <v>77</v>
      </c>
      <c r="Q1" s="33" t="s">
        <v>138</v>
      </c>
      <c r="R1" s="389">
        <v>44105</v>
      </c>
    </row>
    <row r="2" spans="1:18" ht="16.5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>
        <f>IF(Date="","XXX",Date)</f>
        <v>44105</v>
      </c>
    </row>
    <row r="3" spans="1:18" x14ac:dyDescent="0.25">
      <c r="A3" s="484" t="s">
        <v>15</v>
      </c>
      <c r="B3" s="486" t="str">
        <f>YEAR(Test_date)&amp;" год"</f>
        <v>2020 год</v>
      </c>
      <c r="C3" s="487"/>
      <c r="D3" s="487"/>
      <c r="E3" s="488"/>
      <c r="F3" s="482" t="str">
        <f>B3</f>
        <v>2020 год</v>
      </c>
      <c r="G3" s="486" t="str">
        <f>(LEFT(B3,4)+1)&amp;" год"</f>
        <v>2021 год</v>
      </c>
      <c r="H3" s="487"/>
      <c r="I3" s="487"/>
      <c r="J3" s="488"/>
      <c r="K3" s="482" t="str">
        <f>G3</f>
        <v>2021 год</v>
      </c>
      <c r="L3" s="486" t="str">
        <f>(LEFT(G3,4)+1)&amp;" год"</f>
        <v>2022 год</v>
      </c>
      <c r="M3" s="487"/>
      <c r="N3" s="487"/>
      <c r="O3" s="488"/>
      <c r="P3" s="482" t="str">
        <f>L3</f>
        <v>2022 год</v>
      </c>
    </row>
    <row r="4" spans="1:18" ht="15.75" thickBot="1" x14ac:dyDescent="0.3">
      <c r="A4" s="485"/>
      <c r="B4" s="390">
        <v>1</v>
      </c>
      <c r="C4" s="391">
        <v>2</v>
      </c>
      <c r="D4" s="391">
        <v>3</v>
      </c>
      <c r="E4" s="392">
        <v>4</v>
      </c>
      <c r="F4" s="483"/>
      <c r="G4" s="390">
        <v>1</v>
      </c>
      <c r="H4" s="391">
        <v>2</v>
      </c>
      <c r="I4" s="391">
        <v>3</v>
      </c>
      <c r="J4" s="392">
        <v>4</v>
      </c>
      <c r="K4" s="483"/>
      <c r="L4" s="390">
        <v>1</v>
      </c>
      <c r="M4" s="391">
        <v>2</v>
      </c>
      <c r="N4" s="391">
        <v>3</v>
      </c>
      <c r="O4" s="392">
        <v>4</v>
      </c>
      <c r="P4" s="483"/>
    </row>
    <row r="5" spans="1:18" x14ac:dyDescent="0.25">
      <c r="A5" s="195" t="s">
        <v>4</v>
      </c>
      <c r="B5" s="199">
        <f ca="1">ROUND(INDIRECT("'3.Прогноз.С корректировкой таб7'!"&amp;B$1&amp;$Q5),3)</f>
        <v>0.216</v>
      </c>
      <c r="C5" s="200"/>
      <c r="D5" s="200"/>
      <c r="E5" s="201"/>
      <c r="F5" s="202"/>
      <c r="G5" s="203"/>
      <c r="H5" s="200"/>
      <c r="I5" s="200"/>
      <c r="J5" s="201"/>
      <c r="K5" s="202"/>
      <c r="L5" s="203"/>
      <c r="M5" s="200"/>
      <c r="N5" s="200"/>
      <c r="O5" s="201"/>
      <c r="P5" s="202"/>
      <c r="Q5" s="60">
        <v>9</v>
      </c>
      <c r="R5" s="193"/>
    </row>
    <row r="6" spans="1:18" x14ac:dyDescent="0.25">
      <c r="A6" s="196" t="s">
        <v>7</v>
      </c>
      <c r="B6" s="199">
        <f t="shared" ref="B6:E7" ca="1" si="0">ROUND(INDIRECT("'3.Прогноз.С корректировкой таб7'!"&amp;B$1&amp;$Q6),3)</f>
        <v>0</v>
      </c>
      <c r="C6" s="204">
        <f ca="1">ROUND(INDIRECT("'3.Прогноз.С корректировкой таб7'!"&amp;C$1&amp;$Q6),3)</f>
        <v>0</v>
      </c>
      <c r="D6" s="204">
        <f t="shared" ref="D6:E6" ca="1" si="1">ROUND(INDIRECT("'3.Прогноз.С корректировкой таб7'!"&amp;D$1&amp;$Q6),3)</f>
        <v>0</v>
      </c>
      <c r="E6" s="214">
        <f t="shared" ca="1" si="1"/>
        <v>0</v>
      </c>
      <c r="F6" s="217"/>
      <c r="G6" s="199">
        <f ca="1">ROUND(INDIRECT("'3.Прогноз.С корректировкой таб7'!"&amp;G$1&amp;$Q6),3)</f>
        <v>0</v>
      </c>
      <c r="H6" s="204">
        <f t="shared" ref="H6:J6" ca="1" si="2">ROUND(INDIRECT("'3.Прогноз.С корректировкой таб7'!"&amp;H$1&amp;$Q6),3)</f>
        <v>0</v>
      </c>
      <c r="I6" s="204">
        <f t="shared" ca="1" si="2"/>
        <v>0</v>
      </c>
      <c r="J6" s="204">
        <f t="shared" ca="1" si="2"/>
        <v>0</v>
      </c>
      <c r="K6" s="205"/>
      <c r="L6" s="204">
        <f ca="1">ROUND(INDIRECT("'3.Прогноз.С корректировкой таб7'!"&amp;L$1&amp;$Q6),3)</f>
        <v>0</v>
      </c>
      <c r="M6" s="204">
        <f t="shared" ref="M6:O6" ca="1" si="3">ROUND(INDIRECT("'3.Прогноз.С корректировкой таб7'!"&amp;M$1&amp;$Q6),3)</f>
        <v>0</v>
      </c>
      <c r="N6" s="204">
        <f t="shared" ca="1" si="3"/>
        <v>0</v>
      </c>
      <c r="O6" s="204">
        <f t="shared" ca="1" si="3"/>
        <v>0</v>
      </c>
      <c r="P6" s="205"/>
      <c r="Q6" s="60">
        <v>10</v>
      </c>
      <c r="R6" s="193"/>
    </row>
    <row r="7" spans="1:18" x14ac:dyDescent="0.25">
      <c r="A7" s="196" t="s">
        <v>62</v>
      </c>
      <c r="B7" s="199">
        <f t="shared" ca="1" si="0"/>
        <v>9.6000000000000002E-2</v>
      </c>
      <c r="C7" s="204">
        <f t="shared" ca="1" si="0"/>
        <v>8.5000000000000006E-2</v>
      </c>
      <c r="D7" s="204">
        <f t="shared" ca="1" si="0"/>
        <v>0.08</v>
      </c>
      <c r="E7" s="214">
        <f t="shared" ca="1" si="0"/>
        <v>8.3000000000000004E-2</v>
      </c>
      <c r="F7" s="217"/>
      <c r="G7" s="199">
        <f t="shared" ref="G7:J7" ca="1" si="4">ROUND(INDIRECT("'3.Прогноз.С корректировкой таб7'!"&amp;G$1&amp;$Q7),3)</f>
        <v>9.6000000000000002E-2</v>
      </c>
      <c r="H7" s="204">
        <f t="shared" ca="1" si="4"/>
        <v>8.5000000000000006E-2</v>
      </c>
      <c r="I7" s="204">
        <f t="shared" ca="1" si="4"/>
        <v>0.08</v>
      </c>
      <c r="J7" s="204">
        <f t="shared" ca="1" si="4"/>
        <v>8.3000000000000004E-2</v>
      </c>
      <c r="K7" s="206"/>
      <c r="L7" s="204">
        <f t="shared" ref="L7:O7" ca="1" si="5">ROUND(INDIRECT("'3.Прогноз.С корректировкой таб7'!"&amp;L$1&amp;$Q7),3)</f>
        <v>9.6000000000000002E-2</v>
      </c>
      <c r="M7" s="204">
        <f t="shared" ca="1" si="5"/>
        <v>8.5000000000000006E-2</v>
      </c>
      <c r="N7" s="204">
        <f t="shared" ca="1" si="5"/>
        <v>0.08</v>
      </c>
      <c r="O7" s="204">
        <f t="shared" ca="1" si="5"/>
        <v>8.3000000000000004E-2</v>
      </c>
      <c r="P7" s="206"/>
      <c r="Q7" s="192">
        <v>15</v>
      </c>
      <c r="R7" s="193"/>
    </row>
    <row r="8" spans="1:18" x14ac:dyDescent="0.25">
      <c r="A8" s="196" t="s">
        <v>61</v>
      </c>
      <c r="B8" s="207"/>
      <c r="C8" s="208"/>
      <c r="D8" s="208"/>
      <c r="E8" s="215"/>
      <c r="F8" s="205"/>
      <c r="G8" s="207"/>
      <c r="H8" s="208"/>
      <c r="I8" s="208"/>
      <c r="J8" s="208"/>
      <c r="K8" s="205"/>
      <c r="L8" s="208"/>
      <c r="M8" s="208"/>
      <c r="N8" s="208"/>
      <c r="O8" s="208"/>
      <c r="P8" s="205"/>
      <c r="Q8" s="60">
        <v>18</v>
      </c>
      <c r="R8" s="193"/>
    </row>
    <row r="9" spans="1:18" x14ac:dyDescent="0.25">
      <c r="A9" s="196" t="s">
        <v>85</v>
      </c>
      <c r="B9" s="199">
        <f ca="1">ROUND(INDIRECT("'3.Прогноз.С корректировкой таб7'!"&amp;B$1&amp;$Q9),3)</f>
        <v>6.9000000000000006E-2</v>
      </c>
      <c r="C9" s="204">
        <f t="shared" ref="C9:E9" ca="1" si="6">ROUND(INDIRECT("'3.Прогноз.С корректировкой таб7'!"&amp;C$1&amp;$Q9),3)</f>
        <v>7.2999999999999995E-2</v>
      </c>
      <c r="D9" s="204">
        <f t="shared" ca="1" si="6"/>
        <v>6.8000000000000005E-2</v>
      </c>
      <c r="E9" s="214">
        <f t="shared" ca="1" si="6"/>
        <v>6.9000000000000006E-2</v>
      </c>
      <c r="F9" s="206"/>
      <c r="G9" s="199">
        <f ca="1">ROUND(INDIRECT("'3.Прогноз.С корректировкой таб7'!"&amp;G$1&amp;$Q9),3)</f>
        <v>6.9000000000000006E-2</v>
      </c>
      <c r="H9" s="204">
        <f t="shared" ref="H9:J9" ca="1" si="7">ROUND(INDIRECT("'3.Прогноз.С корректировкой таб7'!"&amp;H$1&amp;$Q9),3)</f>
        <v>7.2999999999999995E-2</v>
      </c>
      <c r="I9" s="204">
        <f t="shared" ca="1" si="7"/>
        <v>6.8000000000000005E-2</v>
      </c>
      <c r="J9" s="204">
        <f t="shared" ca="1" si="7"/>
        <v>6.9000000000000006E-2</v>
      </c>
      <c r="K9" s="206"/>
      <c r="L9" s="204">
        <f ca="1">ROUND(INDIRECT("'3.Прогноз.С корректировкой таб7'!"&amp;L$1&amp;$Q9),3)</f>
        <v>6.9000000000000006E-2</v>
      </c>
      <c r="M9" s="204">
        <f t="shared" ref="M9:O9" ca="1" si="8">ROUND(INDIRECT("'3.Прогноз.С корректировкой таб7'!"&amp;M$1&amp;$Q9),3)</f>
        <v>7.2999999999999995E-2</v>
      </c>
      <c r="N9" s="204">
        <f t="shared" ca="1" si="8"/>
        <v>6.8000000000000005E-2</v>
      </c>
      <c r="O9" s="204">
        <f t="shared" ca="1" si="8"/>
        <v>6.9000000000000006E-2</v>
      </c>
      <c r="P9" s="206"/>
      <c r="Q9" s="59">
        <v>19</v>
      </c>
      <c r="R9" s="193"/>
    </row>
    <row r="10" spans="1:18" x14ac:dyDescent="0.25">
      <c r="A10" s="196" t="s">
        <v>84</v>
      </c>
      <c r="B10" s="199">
        <f t="shared" ref="B10:O13" ca="1" si="9">ROUND(INDIRECT("'3.Прогноз.С корректировкой таб7'!"&amp;B$1&amp;$Q10),3)</f>
        <v>1.4E-2</v>
      </c>
      <c r="C10" s="204">
        <f t="shared" ca="1" si="9"/>
        <v>1.4E-2</v>
      </c>
      <c r="D10" s="204">
        <f t="shared" ca="1" si="9"/>
        <v>1.6E-2</v>
      </c>
      <c r="E10" s="214">
        <f t="shared" ca="1" si="9"/>
        <v>1.6E-2</v>
      </c>
      <c r="F10" s="209"/>
      <c r="G10" s="199">
        <f t="shared" ca="1" si="9"/>
        <v>1.4E-2</v>
      </c>
      <c r="H10" s="204">
        <f t="shared" ca="1" si="9"/>
        <v>1.4E-2</v>
      </c>
      <c r="I10" s="204">
        <f t="shared" ca="1" si="9"/>
        <v>1.6E-2</v>
      </c>
      <c r="J10" s="204">
        <f t="shared" ca="1" si="9"/>
        <v>1.6E-2</v>
      </c>
      <c r="K10" s="209"/>
      <c r="L10" s="204">
        <f t="shared" ca="1" si="9"/>
        <v>1.4E-2</v>
      </c>
      <c r="M10" s="204">
        <f t="shared" ca="1" si="9"/>
        <v>1.4E-2</v>
      </c>
      <c r="N10" s="204">
        <f t="shared" ca="1" si="9"/>
        <v>1.6E-2</v>
      </c>
      <c r="O10" s="204">
        <f t="shared" ca="1" si="9"/>
        <v>1.6E-2</v>
      </c>
      <c r="P10" s="209"/>
      <c r="Q10" s="59">
        <v>22</v>
      </c>
      <c r="R10" s="193"/>
    </row>
    <row r="11" spans="1:18" x14ac:dyDescent="0.25">
      <c r="A11" s="196" t="s">
        <v>5</v>
      </c>
      <c r="B11" s="199">
        <f t="shared" ca="1" si="9"/>
        <v>0</v>
      </c>
      <c r="C11" s="204">
        <f t="shared" ca="1" si="9"/>
        <v>1E-3</v>
      </c>
      <c r="D11" s="204">
        <f t="shared" ca="1" si="9"/>
        <v>0</v>
      </c>
      <c r="E11" s="214">
        <f t="shared" ca="1" si="9"/>
        <v>0</v>
      </c>
      <c r="F11" s="210"/>
      <c r="G11" s="199">
        <f t="shared" ca="1" si="9"/>
        <v>0</v>
      </c>
      <c r="H11" s="204">
        <f t="shared" ca="1" si="9"/>
        <v>1E-3</v>
      </c>
      <c r="I11" s="204">
        <f t="shared" ca="1" si="9"/>
        <v>0</v>
      </c>
      <c r="J11" s="204">
        <f t="shared" ca="1" si="9"/>
        <v>0</v>
      </c>
      <c r="K11" s="210"/>
      <c r="L11" s="204">
        <f t="shared" ca="1" si="9"/>
        <v>0</v>
      </c>
      <c r="M11" s="204">
        <f t="shared" ca="1" si="9"/>
        <v>1E-3</v>
      </c>
      <c r="N11" s="204">
        <f t="shared" ca="1" si="9"/>
        <v>0</v>
      </c>
      <c r="O11" s="204">
        <f t="shared" ca="1" si="9"/>
        <v>0</v>
      </c>
      <c r="P11" s="210"/>
      <c r="Q11" s="60">
        <v>27</v>
      </c>
      <c r="R11" s="193"/>
    </row>
    <row r="12" spans="1:18" x14ac:dyDescent="0.25">
      <c r="A12" s="196" t="s">
        <v>60</v>
      </c>
      <c r="B12" s="199">
        <f t="shared" ca="1" si="9"/>
        <v>0</v>
      </c>
      <c r="C12" s="204">
        <f t="shared" ca="1" si="9"/>
        <v>0</v>
      </c>
      <c r="D12" s="204">
        <f t="shared" ca="1" si="9"/>
        <v>0</v>
      </c>
      <c r="E12" s="214">
        <f t="shared" ca="1" si="9"/>
        <v>0</v>
      </c>
      <c r="F12" s="205"/>
      <c r="G12" s="199">
        <f t="shared" ca="1" si="9"/>
        <v>0</v>
      </c>
      <c r="H12" s="204">
        <f t="shared" ca="1" si="9"/>
        <v>0</v>
      </c>
      <c r="I12" s="204">
        <f t="shared" ca="1" si="9"/>
        <v>0</v>
      </c>
      <c r="J12" s="204">
        <f t="shared" ca="1" si="9"/>
        <v>0</v>
      </c>
      <c r="K12" s="205"/>
      <c r="L12" s="204">
        <f t="shared" ca="1" si="9"/>
        <v>0</v>
      </c>
      <c r="M12" s="204">
        <f t="shared" ca="1" si="9"/>
        <v>0</v>
      </c>
      <c r="N12" s="204">
        <f t="shared" ca="1" si="9"/>
        <v>0</v>
      </c>
      <c r="O12" s="204">
        <f t="shared" ca="1" si="9"/>
        <v>0</v>
      </c>
      <c r="P12" s="205"/>
      <c r="Q12" s="60">
        <v>29</v>
      </c>
      <c r="R12" s="193"/>
    </row>
    <row r="13" spans="1:18" x14ac:dyDescent="0.25">
      <c r="A13" s="196" t="s">
        <v>6</v>
      </c>
      <c r="B13" s="199">
        <f t="shared" ca="1" si="9"/>
        <v>1E-3</v>
      </c>
      <c r="C13" s="204">
        <f t="shared" ca="1" si="9"/>
        <v>1E-3</v>
      </c>
      <c r="D13" s="204">
        <f t="shared" ca="1" si="9"/>
        <v>1E-3</v>
      </c>
      <c r="E13" s="214">
        <f t="shared" ca="1" si="9"/>
        <v>1E-3</v>
      </c>
      <c r="F13" s="205"/>
      <c r="G13" s="199">
        <f t="shared" ca="1" si="9"/>
        <v>1E-3</v>
      </c>
      <c r="H13" s="204">
        <f t="shared" ca="1" si="9"/>
        <v>1E-3</v>
      </c>
      <c r="I13" s="204">
        <f t="shared" ca="1" si="9"/>
        <v>1E-3</v>
      </c>
      <c r="J13" s="204">
        <f t="shared" ca="1" si="9"/>
        <v>1E-3</v>
      </c>
      <c r="K13" s="205"/>
      <c r="L13" s="204">
        <f t="shared" ca="1" si="9"/>
        <v>1E-3</v>
      </c>
      <c r="M13" s="204">
        <f t="shared" ca="1" si="9"/>
        <v>1E-3</v>
      </c>
      <c r="N13" s="204">
        <f t="shared" ca="1" si="9"/>
        <v>1E-3</v>
      </c>
      <c r="O13" s="204">
        <f t="shared" ca="1" si="9"/>
        <v>1E-3</v>
      </c>
      <c r="P13" s="205"/>
      <c r="Q13" s="60">
        <v>32</v>
      </c>
      <c r="R13" s="193"/>
    </row>
    <row r="14" spans="1:18" x14ac:dyDescent="0.25">
      <c r="A14" s="196" t="s">
        <v>59</v>
      </c>
      <c r="B14" s="207"/>
      <c r="C14" s="208"/>
      <c r="D14" s="208"/>
      <c r="E14" s="215"/>
      <c r="F14" s="205"/>
      <c r="G14" s="207"/>
      <c r="H14" s="208"/>
      <c r="I14" s="208"/>
      <c r="J14" s="208"/>
      <c r="K14" s="205"/>
      <c r="L14" s="208"/>
      <c r="M14" s="208"/>
      <c r="N14" s="208"/>
      <c r="O14" s="208"/>
      <c r="P14" s="205"/>
      <c r="Q14" s="60">
        <v>35</v>
      </c>
      <c r="R14" s="193"/>
    </row>
    <row r="15" spans="1:18" ht="15.75" thickBot="1" x14ac:dyDescent="0.3">
      <c r="A15" s="197" t="s">
        <v>8</v>
      </c>
      <c r="B15" s="211">
        <f ca="1">B5+B6+B7-B9-B10-B11-B12-B13</f>
        <v>0.22799999999999998</v>
      </c>
      <c r="C15" s="212">
        <f ca="1">B15+C6+C7-C9-C10-C11-C12-C13</f>
        <v>0.22399999999999998</v>
      </c>
      <c r="D15" s="212">
        <f ca="1">C15+D6+D7-D9-D10-D11-D12-D13</f>
        <v>0.21899999999999997</v>
      </c>
      <c r="E15" s="216">
        <f ca="1">D15+E6+E7-E9-E10-E11-E12-E13</f>
        <v>0.21599999999999997</v>
      </c>
      <c r="F15" s="218"/>
      <c r="G15" s="211">
        <f ca="1">E15+G6+G7-G9-G10-G11-G12-G13</f>
        <v>0.22799999999999992</v>
      </c>
      <c r="H15" s="212">
        <f ca="1">G15+H6+H7-H9-H10-H11-H12-H13</f>
        <v>0.22399999999999992</v>
      </c>
      <c r="I15" s="212">
        <f ca="1">H15+I6+I7-I9-I10-I11-I12-I13</f>
        <v>0.21899999999999992</v>
      </c>
      <c r="J15" s="212">
        <f ca="1">I15+J6+J7-J9-J10-J11-J12-J13</f>
        <v>0.21599999999999991</v>
      </c>
      <c r="K15" s="213"/>
      <c r="L15" s="212">
        <f ca="1">J15+L6+L7-L9-L10-L11-L12-L13</f>
        <v>0.22799999999999992</v>
      </c>
      <c r="M15" s="212">
        <f ca="1">L15+M6+M7-M9-M10-M11-M12-M13</f>
        <v>0.22399999999999992</v>
      </c>
      <c r="N15" s="212">
        <f ca="1">M15+N6+N7-N9-N10-N11-N12-N13</f>
        <v>0.21899999999999992</v>
      </c>
      <c r="O15" s="212">
        <f ca="1">N15+O6+O7-O9-O10-O11-O12-O13</f>
        <v>0.21599999999999991</v>
      </c>
      <c r="P15" s="213"/>
      <c r="Q15" s="60">
        <v>36</v>
      </c>
      <c r="R15" s="193"/>
    </row>
    <row r="16" spans="1:18" ht="15.75" thickBot="1" x14ac:dyDescent="0.3">
      <c r="A16" s="198" t="s">
        <v>58</v>
      </c>
      <c r="B16" s="114">
        <v>0</v>
      </c>
      <c r="C16" s="111">
        <v>0</v>
      </c>
      <c r="D16" s="111">
        <v>0</v>
      </c>
      <c r="E16" s="112">
        <v>0</v>
      </c>
      <c r="F16" s="113"/>
      <c r="G16" s="114">
        <v>0</v>
      </c>
      <c r="H16" s="111">
        <v>0</v>
      </c>
      <c r="I16" s="111">
        <v>0</v>
      </c>
      <c r="J16" s="112">
        <v>0</v>
      </c>
      <c r="K16" s="113"/>
      <c r="L16" s="114">
        <v>0</v>
      </c>
      <c r="M16" s="111">
        <v>0</v>
      </c>
      <c r="N16" s="111">
        <v>0</v>
      </c>
      <c r="O16" s="112">
        <v>0</v>
      </c>
      <c r="P16" s="113">
        <v>0</v>
      </c>
      <c r="R16" s="59"/>
    </row>
    <row r="20" spans="3:3" x14ac:dyDescent="0.25">
      <c r="C20" s="16"/>
    </row>
  </sheetData>
  <sheetProtection algorithmName="SHA-512" hashValue="Xh/Txfa/PEHwY4lTxUVlwXSUIaPYsKktNV+c/ndgqAMU2T+LXSY/q1GL6/NcNvi3d+e5ehbKPLlwEq+BJOpMMg==" saltValue="vcDHUpnTsbrusyak5ND+QA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4"/>
  <sheetViews>
    <sheetView workbookViewId="0"/>
  </sheetViews>
  <sheetFormatPr defaultRowHeight="15" x14ac:dyDescent="0.25"/>
  <cols>
    <col min="1" max="1" width="37.85546875" customWidth="1"/>
    <col min="2" max="4" width="14.28515625" customWidth="1"/>
    <col min="5" max="5" width="63" customWidth="1"/>
    <col min="6" max="6" width="19.28515625" customWidth="1"/>
  </cols>
  <sheetData>
    <row r="1" spans="1:6" x14ac:dyDescent="0.25">
      <c r="A1" s="414"/>
      <c r="B1" s="414"/>
      <c r="C1" s="414"/>
      <c r="D1" s="414"/>
      <c r="E1" s="414"/>
    </row>
    <row r="2" spans="1:6" ht="20.25" x14ac:dyDescent="0.3">
      <c r="A2" s="489" t="s">
        <v>131</v>
      </c>
      <c r="B2" s="489"/>
      <c r="C2" s="489"/>
      <c r="D2" s="489"/>
      <c r="E2" s="489"/>
    </row>
    <row r="3" spans="1:6" ht="15.75" thickBot="1" x14ac:dyDescent="0.3">
      <c r="A3" s="415"/>
      <c r="B3" s="415"/>
      <c r="C3" s="415"/>
      <c r="D3" s="415"/>
      <c r="E3" s="415"/>
    </row>
    <row r="4" spans="1:6" ht="40.15" customHeight="1" thickBot="1" x14ac:dyDescent="0.3">
      <c r="A4" s="416" t="s">
        <v>132</v>
      </c>
      <c r="B4" s="416" t="str">
        <f>(YEAR(Test_date)-1)&amp;" год"</f>
        <v>2019 год</v>
      </c>
      <c r="C4" s="416" t="str">
        <f>(LEFT(B4,4)+1)&amp;" год"</f>
        <v>2020 год</v>
      </c>
      <c r="D4" s="416" t="s">
        <v>133</v>
      </c>
      <c r="E4" s="417" t="s">
        <v>134</v>
      </c>
      <c r="F4" s="418"/>
    </row>
    <row r="5" spans="1:6" ht="26.45" customHeight="1" thickBot="1" x14ac:dyDescent="0.35">
      <c r="A5" s="431" t="s">
        <v>37</v>
      </c>
      <c r="B5" s="432">
        <f>SUM(B6:B8)</f>
        <v>0.56700000000000006</v>
      </c>
      <c r="C5" s="432">
        <f>SUM(C6:C8)</f>
        <v>0.55999999999999994</v>
      </c>
      <c r="D5" s="432">
        <f>IFERROR(C5/B5*100-100,"")</f>
        <v>-1.234567901234584</v>
      </c>
      <c r="E5" s="433"/>
      <c r="F5" s="419" t="str">
        <f t="shared" ref="F5:F14" si="0">IF(OR($D5&gt;10,$D5&lt;-10),IF($D5="","",IF($E5="","Внесите комментарий!","")),"")</f>
        <v/>
      </c>
    </row>
    <row r="6" spans="1:6" ht="26.45" customHeight="1" x14ac:dyDescent="0.3">
      <c r="A6" s="428" t="s">
        <v>38</v>
      </c>
      <c r="B6" s="429">
        <f>'1. Статистика'!M19</f>
        <v>0.22900000000000001</v>
      </c>
      <c r="C6" s="429">
        <f>'3.Прогноз.С корректировкой таб7'!G9</f>
        <v>0.216</v>
      </c>
      <c r="D6" s="429">
        <f>IFERROR(C6/B6*100-100,"")</f>
        <v>-5.6768558951965105</v>
      </c>
      <c r="E6" s="430"/>
      <c r="F6" s="419" t="str">
        <f t="shared" si="0"/>
        <v/>
      </c>
    </row>
    <row r="7" spans="1:6" ht="26.45" customHeight="1" x14ac:dyDescent="0.3">
      <c r="A7" s="427" t="s">
        <v>137</v>
      </c>
      <c r="B7" s="422">
        <f>'1. Статистика'!M20</f>
        <v>0</v>
      </c>
      <c r="C7" s="422">
        <f>'3.Прогноз.С корректировкой таб7'!G10</f>
        <v>0</v>
      </c>
      <c r="D7" s="422" t="str">
        <f t="shared" ref="D7:D14" si="1">IFERROR(C7/B7*100-100,"")</f>
        <v/>
      </c>
      <c r="E7" s="423"/>
      <c r="F7" s="419" t="str">
        <f t="shared" si="0"/>
        <v/>
      </c>
    </row>
    <row r="8" spans="1:6" ht="26.45" customHeight="1" x14ac:dyDescent="0.3">
      <c r="A8" s="427" t="s">
        <v>39</v>
      </c>
      <c r="B8" s="422">
        <f>'1. Статистика'!M21</f>
        <v>0.33800000000000002</v>
      </c>
      <c r="C8" s="422">
        <f>'3.Прогноз.С корректировкой таб7'!G15</f>
        <v>0.34399999999999997</v>
      </c>
      <c r="D8" s="422">
        <f t="shared" si="1"/>
        <v>1.7751479289940733</v>
      </c>
      <c r="E8" s="423"/>
      <c r="F8" s="419" t="str">
        <f t="shared" si="0"/>
        <v/>
      </c>
    </row>
    <row r="9" spans="1:6" ht="26.45" customHeight="1" x14ac:dyDescent="0.3">
      <c r="A9" s="420" t="s">
        <v>42</v>
      </c>
      <c r="B9" s="421">
        <f>SUM(B10:B13)</f>
        <v>0.34700000000000003</v>
      </c>
      <c r="C9" s="421">
        <f>SUM(C10:C13)</f>
        <v>0.34300000000000003</v>
      </c>
      <c r="D9" s="421">
        <f t="shared" si="1"/>
        <v>-1.1527377521613857</v>
      </c>
      <c r="E9" s="434"/>
      <c r="F9" s="419" t="str">
        <f t="shared" si="0"/>
        <v/>
      </c>
    </row>
    <row r="10" spans="1:6" ht="26.45" customHeight="1" x14ac:dyDescent="0.3">
      <c r="A10" s="427" t="s">
        <v>87</v>
      </c>
      <c r="B10" s="422">
        <f>'1. Статистика'!M23</f>
        <v>0.27900000000000003</v>
      </c>
      <c r="C10" s="422">
        <f>'3.Прогноз.С корректировкой таб7'!G19</f>
        <v>0.27900000000000003</v>
      </c>
      <c r="D10" s="422">
        <f t="shared" si="1"/>
        <v>0</v>
      </c>
      <c r="E10" s="423"/>
      <c r="F10" s="419" t="str">
        <f t="shared" si="0"/>
        <v/>
      </c>
    </row>
    <row r="11" spans="1:6" ht="26.45" customHeight="1" x14ac:dyDescent="0.3">
      <c r="A11" s="427" t="s">
        <v>93</v>
      </c>
      <c r="B11" s="422">
        <f>'1. Статистика'!M24</f>
        <v>6.4000000000000001E-2</v>
      </c>
      <c r="C11" s="422">
        <f>'3.Прогноз.С корректировкой таб7'!G22</f>
        <v>0.06</v>
      </c>
      <c r="D11" s="422">
        <f t="shared" si="1"/>
        <v>-6.25</v>
      </c>
      <c r="E11" s="423"/>
      <c r="F11" s="419" t="str">
        <f t="shared" si="0"/>
        <v/>
      </c>
    </row>
    <row r="12" spans="1:6" ht="26.45" customHeight="1" x14ac:dyDescent="0.3">
      <c r="A12" s="427" t="s">
        <v>135</v>
      </c>
      <c r="B12" s="422">
        <f>'1. Статистика'!M26</f>
        <v>0</v>
      </c>
      <c r="C12" s="422">
        <f>'3.Прогноз.С корректировкой таб7'!G29</f>
        <v>0</v>
      </c>
      <c r="D12" s="422" t="str">
        <f t="shared" si="1"/>
        <v/>
      </c>
      <c r="E12" s="423"/>
      <c r="F12" s="419" t="str">
        <f t="shared" si="0"/>
        <v/>
      </c>
    </row>
    <row r="13" spans="1:6" ht="26.45" customHeight="1" x14ac:dyDescent="0.3">
      <c r="A13" s="427" t="s">
        <v>136</v>
      </c>
      <c r="B13" s="422">
        <f>'1. Статистика'!M27</f>
        <v>4.0000000000000001E-3</v>
      </c>
      <c r="C13" s="422">
        <f>'3.Прогноз.С корректировкой таб7'!G32</f>
        <v>4.0000000000000001E-3</v>
      </c>
      <c r="D13" s="422">
        <f t="shared" si="1"/>
        <v>0</v>
      </c>
      <c r="E13" s="423"/>
      <c r="F13" s="419" t="str">
        <f t="shared" si="0"/>
        <v/>
      </c>
    </row>
    <row r="14" spans="1:6" ht="26.45" customHeight="1" thickBot="1" x14ac:dyDescent="0.35">
      <c r="A14" s="424" t="s">
        <v>49</v>
      </c>
      <c r="B14" s="425">
        <f>'1. Статистика'!M28</f>
        <v>0.216</v>
      </c>
      <c r="C14" s="425">
        <f>'3.Прогноз.С корректировкой таб7'!G36</f>
        <v>0.216</v>
      </c>
      <c r="D14" s="425">
        <f t="shared" si="1"/>
        <v>0</v>
      </c>
      <c r="E14" s="426"/>
      <c r="F14" s="419" t="str">
        <f t="shared" si="0"/>
        <v/>
      </c>
    </row>
  </sheetData>
  <sheetProtection algorithmName="SHA-512" hashValue="hZ3goBDOxNgeNwtCe7R1lUFbXA5XHJyGZzKzaU7yzOsrJYCgmm0ensCebcgWC0jdKtsq4adlr9MFI1RonOvWjw==" saltValue="VWJ1fXWkrTIy4/tf9oUB9A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2017-12-06T12:30:45Z</cp:lastPrinted>
  <dcterms:created xsi:type="dcterms:W3CDTF">2006-09-16T00:00:00Z</dcterms:created>
  <dcterms:modified xsi:type="dcterms:W3CDTF">2022-05-26T09:03:14Z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