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CmL9spmb7zZo6E+/X/PGITK+svewmOOYEHEec7IiUpFrjl6Cm5V8Yg9l1fDsvpnb9/aWT9txca7trzzIAPWWqQ==" workbookSaltValue="SD591/kP+pjOgMif1bvGKA==" workbookSpinCount="100000" lockStructure="1"/>
  <bookViews>
    <workbookView xWindow="30" yWindow="630" windowWidth="19440" windowHeight="15570" tabRatio="753"/>
  </bookViews>
  <sheets>
    <sheet name="1. Статистика" sheetId="6" r:id="rId1"/>
    <sheet name="2. Прогноз. Без корректировки" sheetId="7" r:id="rId2"/>
    <sheet name="3.Прогноз.С корректировкой таб8" sheetId="13" r:id="rId3"/>
    <sheet name="Баланс" sheetId="14" state="veryHidden" r:id="rId4"/>
    <sheet name="4. Комментарии" sheetId="15" r:id="rId5"/>
  </sheets>
  <definedNames>
    <definedName name="Date">Баланс!$R$1</definedName>
    <definedName name="DocN">Баланс!$Q$1</definedName>
    <definedName name="Test_date">Баланс!$R$2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7" l="1"/>
  <c r="D12" i="7"/>
  <c r="E12" i="7"/>
  <c r="Q14" i="14" l="1"/>
  <c r="Q13" i="14"/>
  <c r="Q12" i="14"/>
  <c r="Q11" i="14"/>
  <c r="Q10" i="14"/>
  <c r="Q9" i="14"/>
  <c r="Q8" i="14"/>
  <c r="Q7" i="14"/>
  <c r="Q6" i="14"/>
  <c r="Q5" i="14"/>
  <c r="R2" i="14"/>
  <c r="F25" i="13"/>
  <c r="E25" i="13"/>
  <c r="D25" i="13"/>
  <c r="C25" i="13"/>
  <c r="P21" i="13"/>
  <c r="O21" i="13"/>
  <c r="N21" i="13"/>
  <c r="M21" i="13"/>
  <c r="K21" i="13"/>
  <c r="J21" i="13"/>
  <c r="I21" i="13"/>
  <c r="H21" i="13"/>
  <c r="F21" i="13"/>
  <c r="E21" i="13"/>
  <c r="D21" i="13"/>
  <c r="C21" i="13"/>
  <c r="F20" i="13"/>
  <c r="F19" i="13" s="1"/>
  <c r="E20" i="13"/>
  <c r="D20" i="13"/>
  <c r="C20" i="13"/>
  <c r="E19" i="13"/>
  <c r="J20" i="13" s="1"/>
  <c r="J19" i="13" s="1"/>
  <c r="D19" i="13"/>
  <c r="C19" i="13"/>
  <c r="H20" i="13" s="1"/>
  <c r="F16" i="13"/>
  <c r="E16" i="13"/>
  <c r="D16" i="13"/>
  <c r="C16" i="13"/>
  <c r="G7" i="13"/>
  <c r="C7" i="13"/>
  <c r="H7" i="13" s="1"/>
  <c r="E161" i="7"/>
  <c r="Q29" i="7"/>
  <c r="Q29" i="13" s="1"/>
  <c r="L29" i="7"/>
  <c r="L29" i="13" s="1"/>
  <c r="G29" i="7"/>
  <c r="G29" i="13" s="1"/>
  <c r="Q26" i="7"/>
  <c r="L26" i="7"/>
  <c r="G26" i="7"/>
  <c r="F25" i="7"/>
  <c r="F24" i="7" s="1"/>
  <c r="K25" i="7" s="1"/>
  <c r="K24" i="7" s="1"/>
  <c r="P25" i="7" s="1"/>
  <c r="P24" i="7" s="1"/>
  <c r="N77" i="6" s="1"/>
  <c r="E25" i="7"/>
  <c r="D25" i="7"/>
  <c r="D24" i="7" s="1"/>
  <c r="I25" i="7" s="1"/>
  <c r="I24" i="7" s="1"/>
  <c r="N25" i="7" s="1"/>
  <c r="N24" i="7" s="1"/>
  <c r="L77" i="6" s="1"/>
  <c r="C25" i="7"/>
  <c r="G25" i="7" s="1"/>
  <c r="E24" i="7"/>
  <c r="J25" i="7" s="1"/>
  <c r="J24" i="7" s="1"/>
  <c r="O25" i="7" s="1"/>
  <c r="O24" i="7" s="1"/>
  <c r="M77" i="6" s="1"/>
  <c r="Q21" i="7"/>
  <c r="L21" i="7"/>
  <c r="G21" i="7"/>
  <c r="F20" i="7"/>
  <c r="E20" i="7"/>
  <c r="E19" i="7" s="1"/>
  <c r="D20" i="7"/>
  <c r="D19" i="7" s="1"/>
  <c r="C20" i="7"/>
  <c r="C19" i="7" s="1"/>
  <c r="F19" i="7"/>
  <c r="Q17" i="7"/>
  <c r="L17" i="7"/>
  <c r="G17" i="7"/>
  <c r="F16" i="7"/>
  <c r="E16" i="7"/>
  <c r="E15" i="7" s="1"/>
  <c r="J16" i="7" s="1"/>
  <c r="J15" i="7" s="1"/>
  <c r="O16" i="7" s="1"/>
  <c r="O15" i="7" s="1"/>
  <c r="M76" i="6" s="1"/>
  <c r="D16" i="7"/>
  <c r="C16" i="7"/>
  <c r="C15" i="7" s="1"/>
  <c r="H16" i="7" s="1"/>
  <c r="H15" i="7" s="1"/>
  <c r="M16" i="7" s="1"/>
  <c r="F15" i="7"/>
  <c r="K16" i="7" s="1"/>
  <c r="K15" i="7" s="1"/>
  <c r="D15" i="7"/>
  <c r="I16" i="7" s="1"/>
  <c r="I15" i="7" s="1"/>
  <c r="Q13" i="7"/>
  <c r="Q13" i="13" s="1"/>
  <c r="L13" i="7"/>
  <c r="G13" i="7"/>
  <c r="G13" i="13" s="1"/>
  <c r="K12" i="7"/>
  <c r="I12" i="7"/>
  <c r="F12" i="7"/>
  <c r="F12" i="13" s="1"/>
  <c r="D12" i="13"/>
  <c r="G7" i="7"/>
  <c r="C7" i="7"/>
  <c r="H7" i="7" s="1"/>
  <c r="F77" i="6"/>
  <c r="E77" i="6"/>
  <c r="D77" i="6"/>
  <c r="E76" i="6"/>
  <c r="C56" i="6"/>
  <c r="H56" i="6" s="1"/>
  <c r="C55" i="6"/>
  <c r="H55" i="6" s="1"/>
  <c r="C54" i="6"/>
  <c r="H54" i="6" s="1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G48" i="6"/>
  <c r="F48" i="6"/>
  <c r="E48" i="6"/>
  <c r="D48" i="6"/>
  <c r="AK46" i="6"/>
  <c r="G9" i="13" s="1"/>
  <c r="AJ46" i="6"/>
  <c r="AI46" i="6"/>
  <c r="AH46" i="6"/>
  <c r="AG46" i="6"/>
  <c r="AF46" i="6"/>
  <c r="AE46" i="6"/>
  <c r="AD46" i="6"/>
  <c r="AC46" i="6"/>
  <c r="AB46" i="6"/>
  <c r="AA46" i="6"/>
  <c r="W46" i="6" s="1"/>
  <c r="Z46" i="6"/>
  <c r="Y46" i="6"/>
  <c r="X46" i="6"/>
  <c r="R46" i="6"/>
  <c r="R48" i="6" s="1"/>
  <c r="M46" i="6"/>
  <c r="H46" i="6"/>
  <c r="H48" i="6" s="1"/>
  <c r="C46" i="6"/>
  <c r="C48" i="6" s="1"/>
  <c r="M35" i="6"/>
  <c r="B14" i="15" s="1"/>
  <c r="H35" i="6"/>
  <c r="C35" i="6"/>
  <c r="M34" i="6"/>
  <c r="B13" i="15" s="1"/>
  <c r="H34" i="6"/>
  <c r="C34" i="6"/>
  <c r="M33" i="6"/>
  <c r="B12" i="15" s="1"/>
  <c r="H33" i="6"/>
  <c r="C33" i="6"/>
  <c r="M32" i="6"/>
  <c r="B11" i="15" s="1"/>
  <c r="H32" i="6"/>
  <c r="C32" i="6"/>
  <c r="M31" i="6"/>
  <c r="B10" i="15" s="1"/>
  <c r="H31" i="6"/>
  <c r="C31" i="6"/>
  <c r="P30" i="6"/>
  <c r="P37" i="6" s="1"/>
  <c r="D30" i="6"/>
  <c r="D37" i="6" s="1"/>
  <c r="M29" i="6"/>
  <c r="B8" i="15" s="1"/>
  <c r="H29" i="6"/>
  <c r="C29" i="6"/>
  <c r="M28" i="6"/>
  <c r="H28" i="6"/>
  <c r="C28" i="6"/>
  <c r="M27" i="6"/>
  <c r="H27" i="6"/>
  <c r="C27" i="6"/>
  <c r="M26" i="6"/>
  <c r="B7" i="15" s="1"/>
  <c r="H26" i="6"/>
  <c r="C26" i="6"/>
  <c r="Q25" i="6"/>
  <c r="Q30" i="6" s="1"/>
  <c r="P25" i="6"/>
  <c r="O25" i="6"/>
  <c r="O30" i="6" s="1"/>
  <c r="N25" i="6"/>
  <c r="N30" i="6" s="1"/>
  <c r="N37" i="6" s="1"/>
  <c r="L25" i="6"/>
  <c r="L30" i="6" s="1"/>
  <c r="L37" i="6" s="1"/>
  <c r="K25" i="6"/>
  <c r="K30" i="6" s="1"/>
  <c r="J25" i="6"/>
  <c r="J30" i="6" s="1"/>
  <c r="J37" i="6" s="1"/>
  <c r="I25" i="6"/>
  <c r="I30" i="6" s="1"/>
  <c r="G25" i="6"/>
  <c r="G30" i="6" s="1"/>
  <c r="F25" i="6"/>
  <c r="F30" i="6" s="1"/>
  <c r="F37" i="6" s="1"/>
  <c r="E25" i="6"/>
  <c r="E30" i="6" s="1"/>
  <c r="C25" i="6"/>
  <c r="C19" i="6"/>
  <c r="G14" i="7" s="1"/>
  <c r="B9" i="14"/>
  <c r="D9" i="14"/>
  <c r="I9" i="14"/>
  <c r="K79" i="6" l="1"/>
  <c r="N79" i="6"/>
  <c r="G16" i="13"/>
  <c r="G20" i="13"/>
  <c r="G19" i="13" s="1"/>
  <c r="G21" i="13"/>
  <c r="L21" i="13"/>
  <c r="Q21" i="13"/>
  <c r="G25" i="13"/>
  <c r="C30" i="6"/>
  <c r="C37" i="6" s="1"/>
  <c r="M25" i="6"/>
  <c r="B6" i="15" s="1"/>
  <c r="B5" i="15" s="1"/>
  <c r="C24" i="7"/>
  <c r="B9" i="15"/>
  <c r="C68" i="6"/>
  <c r="M79" i="6"/>
  <c r="L79" i="6"/>
  <c r="J77" i="6"/>
  <c r="I77" i="6"/>
  <c r="H77" i="6"/>
  <c r="D76" i="6"/>
  <c r="C76" i="6"/>
  <c r="F76" i="6"/>
  <c r="I76" i="6"/>
  <c r="I39" i="6"/>
  <c r="I37" i="6"/>
  <c r="K39" i="6"/>
  <c r="K37" i="6"/>
  <c r="O39" i="6"/>
  <c r="O37" i="6"/>
  <c r="Q39" i="6"/>
  <c r="Q37" i="6"/>
  <c r="C39" i="6"/>
  <c r="N16" i="7"/>
  <c r="N15" i="7" s="1"/>
  <c r="L76" i="6" s="1"/>
  <c r="H76" i="6"/>
  <c r="M15" i="7"/>
  <c r="K76" i="6" s="1"/>
  <c r="G14" i="13"/>
  <c r="G10" i="7"/>
  <c r="E39" i="6"/>
  <c r="E37" i="6"/>
  <c r="G39" i="6"/>
  <c r="G37" i="6"/>
  <c r="G28" i="7"/>
  <c r="D68" i="6"/>
  <c r="L7" i="7"/>
  <c r="M7" i="7"/>
  <c r="Q7" i="7" s="1"/>
  <c r="P16" i="7"/>
  <c r="P15" i="7" s="1"/>
  <c r="N76" i="6" s="1"/>
  <c r="J76" i="6"/>
  <c r="D19" i="6"/>
  <c r="H25" i="6"/>
  <c r="H30" i="6" s="1"/>
  <c r="H37" i="6" s="1"/>
  <c r="M30" i="6"/>
  <c r="M37" i="6" s="1"/>
  <c r="D39" i="6"/>
  <c r="F39" i="6"/>
  <c r="J39" i="6"/>
  <c r="L39" i="6"/>
  <c r="N39" i="6"/>
  <c r="P39" i="6"/>
  <c r="C6" i="15"/>
  <c r="C9" i="13"/>
  <c r="G76" i="6"/>
  <c r="C79" i="6"/>
  <c r="E79" i="6"/>
  <c r="G79" i="6"/>
  <c r="I79" i="6"/>
  <c r="G9" i="7"/>
  <c r="C12" i="13"/>
  <c r="H12" i="7"/>
  <c r="E12" i="13"/>
  <c r="J12" i="7"/>
  <c r="G12" i="7"/>
  <c r="K12" i="13"/>
  <c r="P12" i="7"/>
  <c r="P12" i="13" s="1"/>
  <c r="L16" i="7"/>
  <c r="L15" i="7" s="1"/>
  <c r="G16" i="7"/>
  <c r="G15" i="7" s="1"/>
  <c r="H20" i="7"/>
  <c r="J20" i="7"/>
  <c r="J19" i="7" s="1"/>
  <c r="G20" i="7"/>
  <c r="G19" i="7" s="1"/>
  <c r="K20" i="7"/>
  <c r="K19" i="7" s="1"/>
  <c r="D79" i="6"/>
  <c r="F79" i="6"/>
  <c r="H79" i="6"/>
  <c r="J79" i="6"/>
  <c r="I12" i="13"/>
  <c r="N12" i="7"/>
  <c r="N12" i="13" s="1"/>
  <c r="L13" i="13"/>
  <c r="I20" i="7"/>
  <c r="I19" i="7" s="1"/>
  <c r="L7" i="13"/>
  <c r="M7" i="13"/>
  <c r="Q7" i="13" s="1"/>
  <c r="G24" i="7"/>
  <c r="H19" i="13"/>
  <c r="O20" i="13"/>
  <c r="O19" i="13" s="1"/>
  <c r="C10" i="15"/>
  <c r="I20" i="13"/>
  <c r="I19" i="13" s="1"/>
  <c r="K20" i="13"/>
  <c r="K19" i="13" s="1"/>
  <c r="B3" i="14"/>
  <c r="B4" i="15"/>
  <c r="C4" i="15" s="1"/>
  <c r="J9" i="14"/>
  <c r="B5" i="14"/>
  <c r="N9" i="14"/>
  <c r="C9" i="14"/>
  <c r="E9" i="14"/>
  <c r="H9" i="14"/>
  <c r="G9" i="14"/>
  <c r="H25" i="7" l="1"/>
  <c r="C77" i="6"/>
  <c r="P20" i="13"/>
  <c r="P19" i="13" s="1"/>
  <c r="D10" i="15"/>
  <c r="F10" i="15" s="1"/>
  <c r="L20" i="13"/>
  <c r="L19" i="13" s="1"/>
  <c r="G12" i="13"/>
  <c r="G28" i="13"/>
  <c r="G27" i="7"/>
  <c r="G3" i="14"/>
  <c r="F3" i="14"/>
  <c r="N20" i="13"/>
  <c r="N19" i="13" s="1"/>
  <c r="M20" i="13"/>
  <c r="N20" i="7"/>
  <c r="N19" i="7" s="1"/>
  <c r="P20" i="7"/>
  <c r="P19" i="7" s="1"/>
  <c r="O20" i="7"/>
  <c r="O19" i="7" s="1"/>
  <c r="L20" i="7"/>
  <c r="L19" i="7" s="1"/>
  <c r="H19" i="7"/>
  <c r="J12" i="13"/>
  <c r="O12" i="7"/>
  <c r="O12" i="13" s="1"/>
  <c r="H12" i="13"/>
  <c r="L12" i="7"/>
  <c r="M12" i="7"/>
  <c r="G18" i="7"/>
  <c r="C9" i="7"/>
  <c r="D6" i="15"/>
  <c r="F6" i="15" s="1"/>
  <c r="L14" i="7"/>
  <c r="E19" i="6"/>
  <c r="Q14" i="7" s="1"/>
  <c r="L28" i="7"/>
  <c r="E68" i="6"/>
  <c r="Q28" i="7" s="1"/>
  <c r="G10" i="13"/>
  <c r="F10" i="7"/>
  <c r="C10" i="7"/>
  <c r="E10" i="7"/>
  <c r="Q16" i="7"/>
  <c r="Q15" i="7" s="1"/>
  <c r="M39" i="6"/>
  <c r="H39" i="6"/>
  <c r="O9" i="14"/>
  <c r="M9" i="14"/>
  <c r="L25" i="7" l="1"/>
  <c r="H24" i="7"/>
  <c r="L12" i="13"/>
  <c r="D10" i="7"/>
  <c r="D10" i="13" s="1"/>
  <c r="E10" i="13"/>
  <c r="E11" i="7"/>
  <c r="E11" i="13" s="1"/>
  <c r="C7" i="15"/>
  <c r="L28" i="13"/>
  <c r="L27" i="7"/>
  <c r="L14" i="13"/>
  <c r="L10" i="7"/>
  <c r="M12" i="13"/>
  <c r="Q12" i="13" s="1"/>
  <c r="Q12" i="7"/>
  <c r="M19" i="13"/>
  <c r="Q20" i="13"/>
  <c r="Q19" i="13" s="1"/>
  <c r="L3" i="14"/>
  <c r="P3" i="14" s="1"/>
  <c r="K3" i="14"/>
  <c r="C10" i="13"/>
  <c r="C11" i="7"/>
  <c r="F10" i="13"/>
  <c r="F11" i="7"/>
  <c r="F11" i="13" s="1"/>
  <c r="Q28" i="13"/>
  <c r="Q27" i="7"/>
  <c r="Q14" i="13"/>
  <c r="Q10" i="7"/>
  <c r="C18" i="7"/>
  <c r="M20" i="7"/>
  <c r="G27" i="13"/>
  <c r="C13" i="15" s="1"/>
  <c r="D13" i="15" s="1"/>
  <c r="F13" i="15" s="1"/>
  <c r="F27" i="7"/>
  <c r="E27" i="7"/>
  <c r="C27" i="7"/>
  <c r="G23" i="13"/>
  <c r="L23" i="7"/>
  <c r="G22" i="7"/>
  <c r="G30" i="7" s="1"/>
  <c r="G31" i="7" s="1"/>
  <c r="Q23" i="7"/>
  <c r="D6" i="14"/>
  <c r="L9" i="14"/>
  <c r="B6" i="14"/>
  <c r="E6" i="14"/>
  <c r="C6" i="14"/>
  <c r="M25" i="7" l="1"/>
  <c r="L24" i="7"/>
  <c r="G77" i="6"/>
  <c r="D11" i="7"/>
  <c r="D11" i="13" s="1"/>
  <c r="Q23" i="13"/>
  <c r="L23" i="13"/>
  <c r="C27" i="13"/>
  <c r="D27" i="7"/>
  <c r="Q20" i="7"/>
  <c r="Q19" i="7" s="1"/>
  <c r="M19" i="7"/>
  <c r="Q10" i="13"/>
  <c r="P10" i="7"/>
  <c r="O10" i="7"/>
  <c r="M10" i="7"/>
  <c r="Q27" i="13"/>
  <c r="P27" i="7"/>
  <c r="O27" i="7"/>
  <c r="M27" i="7"/>
  <c r="M27" i="13" s="1"/>
  <c r="C11" i="13"/>
  <c r="G34" i="7"/>
  <c r="G22" i="13"/>
  <c r="C11" i="15" s="1"/>
  <c r="E22" i="7"/>
  <c r="E22" i="13" s="1"/>
  <c r="C22" i="7"/>
  <c r="F22" i="7"/>
  <c r="F22" i="13" s="1"/>
  <c r="G37" i="7"/>
  <c r="E27" i="13"/>
  <c r="F27" i="13"/>
  <c r="L10" i="13"/>
  <c r="J10" i="7"/>
  <c r="H10" i="7"/>
  <c r="K10" i="7"/>
  <c r="L27" i="13"/>
  <c r="J27" i="7"/>
  <c r="H27" i="7"/>
  <c r="K27" i="7"/>
  <c r="D7" i="15"/>
  <c r="F7" i="15" s="1"/>
  <c r="B12" i="14"/>
  <c r="L12" i="14"/>
  <c r="E10" i="14"/>
  <c r="D10" i="14"/>
  <c r="D12" i="14"/>
  <c r="E12" i="14"/>
  <c r="Q25" i="7" l="1"/>
  <c r="M24" i="7"/>
  <c r="G11" i="7"/>
  <c r="G11" i="13" s="1"/>
  <c r="E30" i="7"/>
  <c r="I10" i="7"/>
  <c r="I11" i="7" s="1"/>
  <c r="I11" i="13" s="1"/>
  <c r="F30" i="7"/>
  <c r="J27" i="13"/>
  <c r="I27" i="7"/>
  <c r="H27" i="13"/>
  <c r="K10" i="13"/>
  <c r="K11" i="7"/>
  <c r="K11" i="13" s="1"/>
  <c r="J10" i="13"/>
  <c r="J11" i="7"/>
  <c r="J11" i="13" s="1"/>
  <c r="D22" i="7"/>
  <c r="D22" i="13" s="1"/>
  <c r="C22" i="13"/>
  <c r="D11" i="15"/>
  <c r="F11" i="15" s="1"/>
  <c r="O27" i="13"/>
  <c r="P27" i="13"/>
  <c r="M10" i="13"/>
  <c r="M11" i="7"/>
  <c r="N10" i="7"/>
  <c r="C30" i="7"/>
  <c r="K27" i="13"/>
  <c r="H10" i="13"/>
  <c r="H11" i="7"/>
  <c r="N27" i="7"/>
  <c r="O10" i="13"/>
  <c r="O11" i="7"/>
  <c r="O11" i="13" s="1"/>
  <c r="P10" i="13"/>
  <c r="P11" i="7"/>
  <c r="P11" i="13" s="1"/>
  <c r="D27" i="13"/>
  <c r="B10" i="14"/>
  <c r="C12" i="14"/>
  <c r="O6" i="14"/>
  <c r="J12" i="14"/>
  <c r="G6" i="14"/>
  <c r="I6" i="14"/>
  <c r="I12" i="14"/>
  <c r="N12" i="14"/>
  <c r="N6" i="14"/>
  <c r="C10" i="14"/>
  <c r="G12" i="14"/>
  <c r="O12" i="14"/>
  <c r="L6" i="14"/>
  <c r="J6" i="14"/>
  <c r="Q24" i="7" l="1"/>
  <c r="K77" i="6"/>
  <c r="I10" i="13"/>
  <c r="D30" i="7"/>
  <c r="C31" i="7"/>
  <c r="C34" i="7" s="1"/>
  <c r="N27" i="13"/>
  <c r="M11" i="13"/>
  <c r="H11" i="13"/>
  <c r="L11" i="7"/>
  <c r="L11" i="13" s="1"/>
  <c r="N10" i="13"/>
  <c r="N11" i="7"/>
  <c r="N11" i="13" s="1"/>
  <c r="I27" i="13"/>
  <c r="M6" i="14"/>
  <c r="H6" i="14"/>
  <c r="M12" i="14"/>
  <c r="H12" i="14"/>
  <c r="Q11" i="7" l="1"/>
  <c r="Q11" i="13" s="1"/>
  <c r="D9" i="7"/>
  <c r="C78" i="6"/>
  <c r="C37" i="7"/>
  <c r="C82" i="6" l="1"/>
  <c r="C81" i="6"/>
  <c r="D18" i="7"/>
  <c r="D31" i="7" l="1"/>
  <c r="C83" i="6"/>
  <c r="C84" i="6" s="1"/>
  <c r="C87" i="6" l="1"/>
  <c r="C88" i="6"/>
  <c r="C92" i="6" s="1"/>
  <c r="D78" i="6" s="1"/>
  <c r="E9" i="7"/>
  <c r="D37" i="7"/>
  <c r="D34" i="7"/>
  <c r="D82" i="6" l="1"/>
  <c r="D81" i="6"/>
  <c r="C26" i="13"/>
  <c r="C91" i="6"/>
  <c r="C86" i="6"/>
  <c r="E18" i="7"/>
  <c r="E31" i="7" l="1"/>
  <c r="E34" i="7" s="1"/>
  <c r="C17" i="13"/>
  <c r="C90" i="6"/>
  <c r="D83" i="6" s="1"/>
  <c r="D84" i="6" s="1"/>
  <c r="C24" i="13"/>
  <c r="B11" i="14"/>
  <c r="D87" i="6" l="1"/>
  <c r="D88" i="6"/>
  <c r="D92" i="6" s="1"/>
  <c r="E78" i="6" s="1"/>
  <c r="C15" i="13"/>
  <c r="H25" i="13"/>
  <c r="C30" i="13"/>
  <c r="F9" i="7"/>
  <c r="E37" i="7"/>
  <c r="B7" i="14"/>
  <c r="B14" i="14" l="1"/>
  <c r="E82" i="6"/>
  <c r="E81" i="6"/>
  <c r="H16" i="13"/>
  <c r="C18" i="13"/>
  <c r="F18" i="7"/>
  <c r="D26" i="13"/>
  <c r="D91" i="6"/>
  <c r="D86" i="6"/>
  <c r="D17" i="13" l="1"/>
  <c r="D90" i="6"/>
  <c r="E83" i="6" s="1"/>
  <c r="E84" i="6" s="1"/>
  <c r="D24" i="13"/>
  <c r="C31" i="13"/>
  <c r="C34" i="13" s="1"/>
  <c r="F31" i="7"/>
  <c r="C11" i="14"/>
  <c r="E88" i="6" l="1"/>
  <c r="E92" i="6" s="1"/>
  <c r="F78" i="6" s="1"/>
  <c r="E87" i="6"/>
  <c r="L9" i="7"/>
  <c r="F37" i="7"/>
  <c r="F34" i="7"/>
  <c r="D9" i="13"/>
  <c r="C37" i="13"/>
  <c r="I25" i="13"/>
  <c r="D30" i="13"/>
  <c r="D15" i="13"/>
  <c r="C7" i="14"/>
  <c r="C14" i="14" l="1"/>
  <c r="F82" i="6"/>
  <c r="F81" i="6"/>
  <c r="E26" i="13"/>
  <c r="E91" i="6"/>
  <c r="E86" i="6"/>
  <c r="I16" i="13"/>
  <c r="D18" i="13"/>
  <c r="L18" i="7"/>
  <c r="H9" i="7"/>
  <c r="L22" i="7" l="1"/>
  <c r="D31" i="13"/>
  <c r="D34" i="13" s="1"/>
  <c r="H18" i="7"/>
  <c r="E17" i="13"/>
  <c r="E90" i="6"/>
  <c r="F83" i="6" s="1"/>
  <c r="F84" i="6" s="1"/>
  <c r="F88" i="6" s="1"/>
  <c r="F92" i="6" s="1"/>
  <c r="E24" i="13"/>
  <c r="D11" i="14"/>
  <c r="E15" i="13" l="1"/>
  <c r="F87" i="6"/>
  <c r="L22" i="13"/>
  <c r="K22" i="7"/>
  <c r="J22" i="7"/>
  <c r="H22" i="7"/>
  <c r="L30" i="7"/>
  <c r="J25" i="13"/>
  <c r="E30" i="13"/>
  <c r="E9" i="13"/>
  <c r="D37" i="13"/>
  <c r="D7" i="14"/>
  <c r="D14" i="14" l="1"/>
  <c r="H22" i="13"/>
  <c r="H30" i="7"/>
  <c r="I22" i="7"/>
  <c r="E18" i="13"/>
  <c r="L31" i="7"/>
  <c r="L37" i="7" s="1"/>
  <c r="J22" i="13"/>
  <c r="J30" i="7"/>
  <c r="K22" i="13"/>
  <c r="K30" i="7"/>
  <c r="F26" i="13"/>
  <c r="F91" i="6"/>
  <c r="F86" i="6"/>
  <c r="J16" i="13"/>
  <c r="I10" i="14"/>
  <c r="G10" i="14"/>
  <c r="J10" i="14"/>
  <c r="L34" i="7" l="1"/>
  <c r="F17" i="13"/>
  <c r="F90" i="6"/>
  <c r="F24" i="13"/>
  <c r="G26" i="13"/>
  <c r="G24" i="13" s="1"/>
  <c r="E31" i="13"/>
  <c r="E34" i="13" s="1"/>
  <c r="I22" i="13"/>
  <c r="I30" i="7"/>
  <c r="H31" i="7"/>
  <c r="H34" i="7" s="1"/>
  <c r="E11" i="14"/>
  <c r="H10" i="14"/>
  <c r="C12" i="15" l="1"/>
  <c r="G30" i="13"/>
  <c r="I9" i="7"/>
  <c r="G78" i="6"/>
  <c r="H37" i="7"/>
  <c r="F9" i="13"/>
  <c r="E37" i="13"/>
  <c r="K25" i="13"/>
  <c r="F30" i="13"/>
  <c r="F15" i="13"/>
  <c r="G17" i="13"/>
  <c r="G15" i="13" s="1"/>
  <c r="E7" i="14"/>
  <c r="E14" i="14" l="1"/>
  <c r="K16" i="13"/>
  <c r="L25" i="13"/>
  <c r="F18" i="13"/>
  <c r="G82" i="6"/>
  <c r="G81" i="6"/>
  <c r="C8" i="15"/>
  <c r="G18" i="13"/>
  <c r="I18" i="7"/>
  <c r="D12" i="15"/>
  <c r="F12" i="15" s="1"/>
  <c r="C9" i="15"/>
  <c r="D9" i="15" s="1"/>
  <c r="F9" i="15" s="1"/>
  <c r="I31" i="7" l="1"/>
  <c r="G31" i="13"/>
  <c r="G34" i="13" s="1"/>
  <c r="D8" i="15"/>
  <c r="F8" i="15" s="1"/>
  <c r="C5" i="15"/>
  <c r="D5" i="15" s="1"/>
  <c r="F5" i="15" s="1"/>
  <c r="G83" i="6"/>
  <c r="G84" i="6" s="1"/>
  <c r="L16" i="13"/>
  <c r="F31" i="13"/>
  <c r="G87" i="6" l="1"/>
  <c r="G88" i="6"/>
  <c r="G92" i="6" s="1"/>
  <c r="H78" i="6" s="1"/>
  <c r="L9" i="13"/>
  <c r="F37" i="13"/>
  <c r="J9" i="7"/>
  <c r="I37" i="7"/>
  <c r="F34" i="13"/>
  <c r="C14" i="15"/>
  <c r="D14" i="15" s="1"/>
  <c r="F14" i="15" s="1"/>
  <c r="G37" i="13"/>
  <c r="I34" i="7"/>
  <c r="H82" i="6" l="1"/>
  <c r="H81" i="6"/>
  <c r="J18" i="7"/>
  <c r="H9" i="13"/>
  <c r="H26" i="13"/>
  <c r="G91" i="6"/>
  <c r="G86" i="6"/>
  <c r="H17" i="13" l="1"/>
  <c r="G90" i="6"/>
  <c r="H83" i="6" s="1"/>
  <c r="H84" i="6" s="1"/>
  <c r="H24" i="13"/>
  <c r="J31" i="7"/>
  <c r="J34" i="7" s="1"/>
  <c r="G11" i="14"/>
  <c r="H87" i="6" l="1"/>
  <c r="H88" i="6"/>
  <c r="H92" i="6" s="1"/>
  <c r="I78" i="6" s="1"/>
  <c r="M25" i="13"/>
  <c r="H30" i="13"/>
  <c r="K9" i="7"/>
  <c r="J37" i="7"/>
  <c r="H15" i="13"/>
  <c r="G7" i="14"/>
  <c r="G14" i="14" l="1"/>
  <c r="I82" i="6"/>
  <c r="I81" i="6"/>
  <c r="M16" i="13"/>
  <c r="H18" i="13"/>
  <c r="K18" i="7"/>
  <c r="I26" i="13"/>
  <c r="H91" i="6"/>
  <c r="H86" i="6"/>
  <c r="I17" i="13" l="1"/>
  <c r="H90" i="6"/>
  <c r="I24" i="13"/>
  <c r="K31" i="7"/>
  <c r="K34" i="7" s="1"/>
  <c r="H31" i="13"/>
  <c r="H34" i="13" s="1"/>
  <c r="I83" i="6"/>
  <c r="I84" i="6" s="1"/>
  <c r="H11" i="14"/>
  <c r="I87" i="6" l="1"/>
  <c r="I88" i="6"/>
  <c r="I92" i="6" s="1"/>
  <c r="J78" i="6" s="1"/>
  <c r="I9" i="13"/>
  <c r="H37" i="13"/>
  <c r="Q9" i="7"/>
  <c r="K37" i="7"/>
  <c r="N25" i="13"/>
  <c r="I30" i="13"/>
  <c r="I15" i="13"/>
  <c r="H7" i="14"/>
  <c r="H14" i="14" l="1"/>
  <c r="N16" i="13"/>
  <c r="Q18" i="7"/>
  <c r="M9" i="7"/>
  <c r="J82" i="6"/>
  <c r="J81" i="6"/>
  <c r="I18" i="13"/>
  <c r="J26" i="13"/>
  <c r="I91" i="6"/>
  <c r="I86" i="6"/>
  <c r="I31" i="13" l="1"/>
  <c r="I34" i="13" s="1"/>
  <c r="Q22" i="7"/>
  <c r="J17" i="13"/>
  <c r="I90" i="6"/>
  <c r="J83" i="6" s="1"/>
  <c r="J84" i="6" s="1"/>
  <c r="J87" i="6" s="1"/>
  <c r="J24" i="13"/>
  <c r="M18" i="7"/>
  <c r="I11" i="14"/>
  <c r="K26" i="13" l="1"/>
  <c r="J91" i="6"/>
  <c r="J86" i="6"/>
  <c r="Q22" i="13"/>
  <c r="O22" i="7"/>
  <c r="M22" i="7"/>
  <c r="P22" i="7"/>
  <c r="Q30" i="7"/>
  <c r="O25" i="13"/>
  <c r="J30" i="13"/>
  <c r="J15" i="13"/>
  <c r="J88" i="6"/>
  <c r="J92" i="6" s="1"/>
  <c r="J9" i="13"/>
  <c r="I37" i="13"/>
  <c r="I7" i="14"/>
  <c r="N22" i="7" l="1"/>
  <c r="N22" i="13" s="1"/>
  <c r="I14" i="14"/>
  <c r="J18" i="13"/>
  <c r="M22" i="13"/>
  <c r="M30" i="7"/>
  <c r="O16" i="13"/>
  <c r="Q31" i="7"/>
  <c r="Q37" i="7" s="1"/>
  <c r="P22" i="13"/>
  <c r="P30" i="7"/>
  <c r="O22" i="13"/>
  <c r="O30" i="7"/>
  <c r="K17" i="13"/>
  <c r="J90" i="6"/>
  <c r="K24" i="13"/>
  <c r="L26" i="13"/>
  <c r="L24" i="13" s="1"/>
  <c r="L30" i="13" s="1"/>
  <c r="M10" i="14"/>
  <c r="L10" i="14"/>
  <c r="N10" i="14"/>
  <c r="J11" i="14"/>
  <c r="O10" i="14"/>
  <c r="N30" i="7" l="1"/>
  <c r="Q34" i="7"/>
  <c r="P25" i="13"/>
  <c r="K30" i="13"/>
  <c r="K15" i="13"/>
  <c r="L17" i="13"/>
  <c r="L15" i="13" s="1"/>
  <c r="J31" i="13"/>
  <c r="M31" i="7"/>
  <c r="M34" i="7" s="1"/>
  <c r="J7" i="14"/>
  <c r="J14" i="14" l="1"/>
  <c r="K9" i="13"/>
  <c r="J37" i="13"/>
  <c r="L18" i="13"/>
  <c r="N9" i="7"/>
  <c r="K78" i="6"/>
  <c r="M37" i="7"/>
  <c r="J34" i="13"/>
  <c r="P16" i="13"/>
  <c r="Q25" i="13"/>
  <c r="Q16" i="13" l="1"/>
  <c r="N18" i="7"/>
  <c r="L31" i="13"/>
  <c r="L37" i="13" s="1"/>
  <c r="K18" i="13"/>
  <c r="K82" i="6"/>
  <c r="K81" i="6"/>
  <c r="L34" i="13" l="1"/>
  <c r="K83" i="6"/>
  <c r="K84" i="6" s="1"/>
  <c r="K31" i="13"/>
  <c r="K34" i="13" s="1"/>
  <c r="N31" i="7"/>
  <c r="N34" i="7" s="1"/>
  <c r="K88" i="6" l="1"/>
  <c r="K92" i="6" s="1"/>
  <c r="L78" i="6" s="1"/>
  <c r="K87" i="6"/>
  <c r="O9" i="7"/>
  <c r="N37" i="7"/>
  <c r="Q9" i="13"/>
  <c r="K37" i="13"/>
  <c r="M9" i="13" l="1"/>
  <c r="O18" i="7"/>
  <c r="M26" i="13"/>
  <c r="K91" i="6"/>
  <c r="K86" i="6"/>
  <c r="L82" i="6"/>
  <c r="L81" i="6"/>
  <c r="O31" i="7" l="1"/>
  <c r="O34" i="7" s="1"/>
  <c r="M17" i="13"/>
  <c r="K90" i="6"/>
  <c r="L83" i="6" s="1"/>
  <c r="L84" i="6" s="1"/>
  <c r="M24" i="13"/>
  <c r="L11" i="14"/>
  <c r="L87" i="6" l="1"/>
  <c r="L88" i="6"/>
  <c r="L92" i="6" s="1"/>
  <c r="M78" i="6" s="1"/>
  <c r="M15" i="13"/>
  <c r="M30" i="13"/>
  <c r="P9" i="7"/>
  <c r="O37" i="7"/>
  <c r="L7" i="14"/>
  <c r="L14" i="14" l="1"/>
  <c r="P18" i="7"/>
  <c r="M18" i="13"/>
  <c r="M82" i="6"/>
  <c r="M81" i="6"/>
  <c r="N26" i="13"/>
  <c r="L91" i="6"/>
  <c r="L86" i="6"/>
  <c r="M31" i="13" l="1"/>
  <c r="N17" i="13"/>
  <c r="L90" i="6"/>
  <c r="M83" i="6" s="1"/>
  <c r="M84" i="6" s="1"/>
  <c r="M88" i="6" s="1"/>
  <c r="M92" i="6" s="1"/>
  <c r="N24" i="13"/>
  <c r="P31" i="7"/>
  <c r="M11" i="14"/>
  <c r="N78" i="6" l="1"/>
  <c r="P37" i="7"/>
  <c r="N30" i="13"/>
  <c r="N15" i="13"/>
  <c r="N9" i="13"/>
  <c r="M37" i="13"/>
  <c r="M87" i="6"/>
  <c r="P34" i="7"/>
  <c r="M34" i="13"/>
  <c r="M7" i="14"/>
  <c r="M14" i="14" l="1"/>
  <c r="O26" i="13"/>
  <c r="M91" i="6"/>
  <c r="M86" i="6"/>
  <c r="N18" i="13"/>
  <c r="N82" i="6"/>
  <c r="N81" i="6"/>
  <c r="O17" i="13" l="1"/>
  <c r="M90" i="6"/>
  <c r="N83" i="6" s="1"/>
  <c r="N84" i="6" s="1"/>
  <c r="O24" i="13"/>
  <c r="N31" i="13"/>
  <c r="N34" i="13" s="1"/>
  <c r="N11" i="14"/>
  <c r="N87" i="6" l="1"/>
  <c r="N88" i="6"/>
  <c r="N92" i="6" s="1"/>
  <c r="O30" i="13"/>
  <c r="O15" i="13"/>
  <c r="O9" i="13"/>
  <c r="N37" i="13"/>
  <c r="N7" i="14"/>
  <c r="N14" i="14" l="1"/>
  <c r="O18" i="13"/>
  <c r="P26" i="13"/>
  <c r="N91" i="6"/>
  <c r="N86" i="6"/>
  <c r="P17" i="13" l="1"/>
  <c r="N90" i="6"/>
  <c r="P24" i="13"/>
  <c r="Q26" i="13"/>
  <c r="Q24" i="13" s="1"/>
  <c r="Q30" i="13" s="1"/>
  <c r="O31" i="13"/>
  <c r="O34" i="13" s="1"/>
  <c r="O11" i="14"/>
  <c r="P9" i="13" l="1"/>
  <c r="O37" i="13"/>
  <c r="P30" i="13"/>
  <c r="P15" i="13"/>
  <c r="Q17" i="13"/>
  <c r="Q15" i="13" s="1"/>
  <c r="O7" i="14"/>
  <c r="O14" i="14" l="1"/>
  <c r="Q18" i="13"/>
  <c r="P18" i="13"/>
  <c r="Q31" i="13" l="1"/>
  <c r="Q37" i="13" s="1"/>
  <c r="P31" i="13"/>
  <c r="P37" i="13" s="1"/>
  <c r="P34" i="13" l="1"/>
  <c r="Q34" i="13"/>
</calcChain>
</file>

<file path=xl/sharedStrings.xml><?xml version="1.0" encoding="utf-8"?>
<sst xmlns="http://schemas.openxmlformats.org/spreadsheetml/2006/main" count="371" uniqueCount="147">
  <si>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</si>
  <si>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</si>
  <si>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</si>
  <si>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</si>
  <si>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</si>
  <si>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</si>
  <si>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</si>
  <si>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</si>
  <si>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Запасы на конец периода</t>
  </si>
  <si>
    <t>Формула</t>
  </si>
  <si>
    <t>Легенда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</si>
  <si>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</si>
  <si>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</si>
  <si>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</si>
  <si>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Значение в данной ячейке заполняется автоматически, можно корректировать</t>
  </si>
  <si>
    <t>Показатель баланса</t>
  </si>
  <si>
    <t>Объем ввоза, включая импорт</t>
  </si>
  <si>
    <t>Итого ресурсов в соответствующем году</t>
  </si>
  <si>
    <t>Объем вывоз, включая экспорт</t>
  </si>
  <si>
    <t>Наименование</t>
  </si>
  <si>
    <t>Обозначение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</si>
  <si>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</si>
  <si>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</si>
  <si>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</si>
  <si>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</si>
  <si>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</si>
  <si>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</si>
  <si>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</si>
  <si>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</si>
  <si>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</si>
  <si>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</si>
  <si>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</si>
  <si>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</si>
  <si>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</si>
  <si>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</si>
  <si>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</si>
  <si>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>Ед. измерения</t>
  </si>
  <si>
    <t>1. Итого ресурсов</t>
  </si>
  <si>
    <t>1.1 Запасы на начало периода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</si>
  <si>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</si>
  <si>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</si>
  <si>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</si>
  <si>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</si>
  <si>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</si>
  <si>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</si>
  <si>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</si>
  <si>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</si>
  <si>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</si>
  <si>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</si>
  <si>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</si>
  <si>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</si>
  <si>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</si>
  <si>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Тип ячейки</t>
  </si>
  <si>
    <t>Контрольная сумма</t>
  </si>
  <si>
    <t>Итого использовано</t>
  </si>
  <si>
    <t>Вывоз, включая экспорт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</si>
  <si>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</si>
  <si>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</si>
  <si>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</si>
  <si>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</si>
  <si>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</si>
  <si>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</si>
  <si>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</si>
  <si>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</si>
  <si>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</si>
  <si>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</si>
  <si>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</si>
  <si>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</si>
  <si>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</si>
  <si>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</si>
  <si>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</si>
  <si>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</si>
  <si>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</si>
  <si>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Проверка на Контрольную сумму</t>
  </si>
  <si>
    <t>3.2. Сумма, на которую возможно уменьшить запасы на конец периода при сторнировании</t>
  </si>
  <si>
    <t>3.2.1. Сторно ввоза</t>
  </si>
  <si>
    <t>3.2.2. Сторно вывоза</t>
  </si>
  <si>
    <t>Объем производственного потребления в предыдущем году</t>
  </si>
  <si>
    <t>Изменение потребления относительно предыдущего года</t>
  </si>
  <si>
    <t>Производственное потребление</t>
  </si>
  <si>
    <t>тыс. голов</t>
  </si>
  <si>
    <t xml:space="preserve">1.2 Производство </t>
  </si>
  <si>
    <t>Проверка на наличие данных в Балансе: если значение больше "0", значит проверка пройдена</t>
  </si>
  <si>
    <t>уд. вес</t>
  </si>
  <si>
    <t>Значение не заполняется</t>
  </si>
  <si>
    <r>
      <t xml:space="preserve">(Таблица содержит фактические значения за 3 предыдущих года и плановые - на 3 прогнозных года,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</si>
  <si>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Проверка</t>
  </si>
  <si>
    <t>2.1 Производственное потребление</t>
  </si>
  <si>
    <t>Проверка на наличие данных в Запасах: если значение больше "0", значит проверка пройдена</t>
  </si>
  <si>
    <t>запасов для авто корректировки на листе "3.Прогноз.С_корректировкой таб8")</t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</si>
  <si>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значения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</si>
  <si>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компенсаций </t>
  </si>
  <si>
    <t>произведенных корректировок в последующих кварталах прогнозного года)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</si>
  <si>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</si>
  <si>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</si>
  <si>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</si>
  <si>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</si>
  <si>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>1.2 Производство</t>
  </si>
  <si>
    <t>млн. шт</t>
  </si>
  <si>
    <t>Таблица 2 - Данные по производству куриных яиц</t>
  </si>
  <si>
    <t>шт/голову</t>
  </si>
  <si>
    <t>(Таблица содержит фактические значения за 3 предыдущих года и плановые на 3 прогнозных года.</t>
  </si>
  <si>
    <r>
      <t xml:space="preserve"> Плановые значения по показателю </t>
    </r>
    <r>
      <rPr>
        <i/>
        <sz val="10"/>
        <color rgb="FFFF0000"/>
        <rFont val="Times New Roman"/>
        <family val="1"/>
        <charset val="204"/>
      </rPr>
      <t>"Прогнозная численность населения на соответствующий год"</t>
    </r>
    <r>
      <rPr>
        <i/>
        <sz val="10"/>
        <color theme="9" tint="-0.249977111117893"/>
        <rFont val="Times New Roman"/>
        <family val="1"/>
        <charset val="204"/>
      </rPr>
      <t xml:space="preserve"> вносится на основании прогноза социально-</t>
    </r>
  </si>
  <si>
    <t>Численность населения на соответствующий год</t>
  </si>
  <si>
    <t>тыс. чел.</t>
  </si>
  <si>
    <t>Таблица 8 - Данные прогноза социально-экономического развития</t>
  </si>
  <si>
    <t>шт/чел.</t>
  </si>
  <si>
    <t>Прогнозная численность населения</t>
  </si>
  <si>
    <t>Прогнозное среднедушевое потребление яиц</t>
  </si>
  <si>
    <t>Cреднедушевое потребление яиц</t>
  </si>
  <si>
    <t>2.1 Производcтвенное потребление</t>
  </si>
  <si>
    <t>2.2 Потери</t>
  </si>
  <si>
    <t>2.3 Вывоз, включая экспорт</t>
  </si>
  <si>
    <t>2.4 Личное потребление</t>
  </si>
  <si>
    <t>Таблица 4 - Статистическая база для разработки прогноза квартальных показателей</t>
  </si>
  <si>
    <t>Таблица 5 - Данные для корректировки прогноза согласно уровня исторического минимума</t>
  </si>
  <si>
    <t>Таблица 6 - Распределение годовых значений по кварталам</t>
  </si>
  <si>
    <t>Таблица 7 - Данные прогноза социально-экономического развития</t>
  </si>
  <si>
    <t>Таблица 9 - Расчет корректировки согласно минимума исторического запаса (результат корректировки будет учтен на следующем шаге расчета)</t>
  </si>
  <si>
    <r>
      <t>(В таблице рассчитываются коэффициенты для распределения годовых прогнозных значений на квартальные,</t>
    </r>
    <r>
      <rPr>
        <i/>
        <sz val="10"/>
        <color rgb="FF548235"/>
        <rFont val="Times New Roman"/>
        <family val="1"/>
        <charset val="204"/>
      </rPr>
      <t xml:space="preserve"> на основании данных таблицы 4)</t>
    </r>
  </si>
  <si>
    <r>
      <t xml:space="preserve">(Таблица содержит </t>
    </r>
    <r>
      <rPr>
        <i/>
        <sz val="10"/>
        <color rgb="FF548235"/>
        <rFont val="Times New Roman"/>
        <family val="1"/>
        <charset val="204"/>
      </rPr>
      <t xml:space="preserve">фактические значения за 3 предыдущих года. </t>
    </r>
    <r>
      <rPr>
        <i/>
        <sz val="10"/>
        <color theme="9" tint="-0.249977111117893"/>
        <rFont val="Times New Roman"/>
        <family val="1"/>
        <charset val="204"/>
      </rPr>
      <t xml:space="preserve">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 xml:space="preserve">"2.4 Личное потребление" </t>
    </r>
    <r>
      <rPr>
        <i/>
        <sz val="10"/>
        <color theme="9" tint="-0.249977111117893"/>
        <rFont val="Times New Roman"/>
        <family val="1"/>
        <charset val="204"/>
      </rPr>
      <t>продовольственного баланса)</t>
    </r>
  </si>
  <si>
    <r>
      <t xml:space="preserve">экономического развития Региона.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"2.4 Личное потребление"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</si>
  <si>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4 и запасов Таблицы 5</t>
  </si>
  <si>
    <t>Таблица 1 - Данные по поголовью птицы в хозяйствах всех категорий</t>
  </si>
  <si>
    <t xml:space="preserve">Таблица 3 - Расчет средней яйценоскости </t>
  </si>
  <si>
    <t>Поголовье птицы в ХВК</t>
  </si>
  <si>
    <r>
      <t>(Таблица содержит фактические значения за 3 предыдущих года</t>
    </r>
    <r>
      <rPr>
        <i/>
        <sz val="10"/>
        <color rgb="FF548235"/>
        <rFont val="Times New Roman"/>
        <family val="1"/>
        <charset val="204"/>
      </rPr>
      <t>,</t>
    </r>
    <r>
      <rPr>
        <i/>
        <sz val="10"/>
        <color theme="9" tint="-0.249977111117893"/>
        <rFont val="Times New Roman"/>
        <family val="1"/>
        <charset val="204"/>
      </rPr>
      <t xml:space="preserve"> необходима для расчета прогнозных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Производство"</t>
    </r>
    <r>
      <rPr>
        <i/>
        <sz val="10"/>
        <color theme="9" tint="-0.249977111117893"/>
        <rFont val="Times New Roman"/>
        <family val="1"/>
        <charset val="204"/>
      </rPr>
      <t xml:space="preserve"> продовольственного баланса)</t>
    </r>
  </si>
  <si>
    <t>Производство яиц в ХВК</t>
  </si>
  <si>
    <t>Средняя яйценоскость в ХВК</t>
  </si>
  <si>
    <t>Планируемое поголовье птицы в ХВК</t>
  </si>
  <si>
    <t>Прогнозируемая яйценоскость птицы в ХВК</t>
  </si>
  <si>
    <t>Производство яиц</t>
  </si>
  <si>
    <t>в т.ч. производство яиц других видов птиц</t>
  </si>
  <si>
    <t>в т.ч. производство куриных яиц</t>
  </si>
  <si>
    <t>(Таблица содержит расчет средней яйценоскости за 3 предыдущих года)</t>
  </si>
  <si>
    <t>000227379</t>
  </si>
  <si>
    <t>2017 год</t>
  </si>
  <si>
    <t>2018 год</t>
  </si>
  <si>
    <t>2019 год</t>
  </si>
  <si>
    <t>2020 год</t>
  </si>
  <si>
    <t>2021 год</t>
  </si>
  <si>
    <t>2022 год</t>
  </si>
  <si>
    <t>2013 год</t>
  </si>
  <si>
    <t>2014 год</t>
  </si>
  <si>
    <t>2015 год</t>
  </si>
  <si>
    <t>2016 год</t>
  </si>
  <si>
    <t>В связи с введением карантинных мероприятий  на птицефабрике ООО "Птицефабрика Владимровская"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</si>
</sst>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\ "/>
    <numFmt numFmtId="169" formatCode="[=0]&quot;&quot;;General"/>
    <numFmt numFmtId="170" formatCode="#,##0.000_ ;\-#,##0.000\ "/>
  </numFmts>
  <fonts count="41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204"/>
    </font>
    <font>
      <sz val="11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indexed="45"/>
      <name val="Calibri"/>
      <family val="2"/>
      <charset val="1"/>
    </font>
    <font>
      <i/>
      <sz val="10"/>
      <name val="Times New Roman"/>
      <family val="1"/>
      <charset val="204"/>
    </font>
    <font>
      <i/>
      <sz val="11"/>
      <color indexed="55"/>
      <name val="Calibri"/>
      <family val="2"/>
      <charset val="1"/>
    </font>
    <font>
      <b/>
      <sz val="11"/>
      <color indexed="55"/>
      <name val="Calibri"/>
      <family val="2"/>
      <charset val="1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45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color indexed="33"/>
      <name val="Calibri"/>
      <family val="2"/>
      <charset val="1"/>
    </font>
    <font>
      <b/>
      <sz val="11"/>
      <color indexed="45"/>
      <name val="Calibri"/>
      <family val="2"/>
      <charset val="204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i/>
      <sz val="10"/>
      <color theme="9" tint="-0.249977111117893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0"/>
      <color rgb="FF548235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33"/>
        <bgColor indexed="18"/>
      </patternFill>
    </fill>
    <fill>
      <patternFill patternType="lightUp">
        <fgColor indexed="55"/>
        <bgColor indexed="1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8"/>
      </patternFill>
    </fill>
    <fill>
      <patternFill patternType="lightUp">
        <fgColor theme="1"/>
        <bgColor rgb="FFBFBFC0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DFDFE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rgb="FFB9CDE5"/>
        <bgColor indexed="55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165" fontId="19" fillId="0" borderId="0" applyBorder="0" applyProtection="0"/>
    <xf numFmtId="165" fontId="19" fillId="0" borderId="0" applyBorder="0" applyProtection="0"/>
    <xf numFmtId="0" fontId="14" fillId="0" borderId="0"/>
  </cellStyleXfs>
  <cellXfs count="462">
    <xf numFmtId="0" fontId="0" fillId="0" borderId="0" xfId="0"/>
    <xf numFmtId="0" fontId="2" fillId="0" borderId="0" xfId="0" applyFont="1" applyBorder="1"/>
    <xf numFmtId="167" fontId="0" fillId="0" borderId="0" xfId="0" applyNumberFormat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167" fontId="2" fillId="0" borderId="0" xfId="0" applyNumberFormat="1" applyFont="1"/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ill="1"/>
    <xf numFmtId="0" fontId="8" fillId="0" borderId="0" xfId="0" applyFont="1"/>
    <xf numFmtId="0" fontId="9" fillId="0" borderId="0" xfId="0" applyFont="1"/>
    <xf numFmtId="0" fontId="11" fillId="0" borderId="1" xfId="0" applyFont="1" applyFill="1" applyBorder="1" applyAlignment="1">
      <alignment horizontal="right"/>
    </xf>
    <xf numFmtId="0" fontId="10" fillId="0" borderId="0" xfId="0" applyFont="1" applyBorder="1" applyAlignment="1"/>
    <xf numFmtId="0" fontId="10" fillId="0" borderId="2" xfId="0" applyFont="1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vertical="center"/>
    </xf>
    <xf numFmtId="0" fontId="2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167" fontId="2" fillId="0" borderId="0" xfId="0" applyNumberFormat="1" applyFont="1" applyFill="1" applyBorder="1"/>
    <xf numFmtId="167" fontId="3" fillId="0" borderId="0" xfId="0" applyNumberFormat="1" applyFont="1" applyFill="1" applyBorder="1"/>
    <xf numFmtId="164" fontId="5" fillId="0" borderId="4" xfId="0" applyNumberFormat="1" applyFont="1" applyBorder="1" applyAlignment="1">
      <alignment horizontal="right"/>
    </xf>
    <xf numFmtId="0" fontId="16" fillId="0" borderId="0" xfId="0" applyFont="1" applyProtection="1"/>
    <xf numFmtId="16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168" fontId="11" fillId="2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3" fontId="20" fillId="6" borderId="4" xfId="0" applyNumberFormat="1" applyFont="1" applyFill="1" applyBorder="1"/>
    <xf numFmtId="164" fontId="3" fillId="0" borderId="8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0" fontId="3" fillId="0" borderId="10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9" xfId="0" applyBorder="1"/>
    <xf numFmtId="0" fontId="2" fillId="8" borderId="0" xfId="0" applyFont="1" applyFill="1"/>
    <xf numFmtId="0" fontId="0" fillId="8" borderId="0" xfId="0" applyFill="1"/>
    <xf numFmtId="167" fontId="2" fillId="8" borderId="0" xfId="0" applyNumberFormat="1" applyFont="1" applyFill="1"/>
    <xf numFmtId="167" fontId="3" fillId="7" borderId="24" xfId="0" applyNumberFormat="1" applyFont="1" applyFill="1" applyBorder="1" applyAlignment="1">
      <alignment horizontal="right"/>
    </xf>
    <xf numFmtId="167" fontId="3" fillId="8" borderId="24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0" fillId="0" borderId="0" xfId="0" applyNumberFormat="1"/>
    <xf numFmtId="0" fontId="15" fillId="0" borderId="0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169" fontId="12" fillId="0" borderId="8" xfId="0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 wrapText="1"/>
    </xf>
    <xf numFmtId="0" fontId="20" fillId="0" borderId="0" xfId="0" applyFont="1"/>
    <xf numFmtId="167" fontId="20" fillId="11" borderId="18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Border="1" applyAlignment="1">
      <alignment vertical="center" wrapText="1"/>
    </xf>
    <xf numFmtId="165" fontId="17" fillId="0" borderId="0" xfId="3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Alignment="1">
      <alignment horizontal="center"/>
    </xf>
    <xf numFmtId="167" fontId="20" fillId="13" borderId="2" xfId="0" applyNumberFormat="1" applyFont="1" applyFill="1" applyBorder="1" applyAlignment="1" applyProtection="1">
      <alignment horizontal="right"/>
      <protection hidden="1"/>
    </xf>
    <xf numFmtId="0" fontId="20" fillId="0" borderId="2" xfId="0" applyFont="1" applyBorder="1" applyAlignment="1">
      <alignment horizontal="center"/>
    </xf>
    <xf numFmtId="167" fontId="20" fillId="13" borderId="0" xfId="0" applyNumberFormat="1" applyFont="1" applyFill="1" applyBorder="1" applyAlignment="1" applyProtection="1">
      <alignment horizontal="right"/>
      <protection hidden="1"/>
    </xf>
    <xf numFmtId="0" fontId="20" fillId="0" borderId="0" xfId="0" applyFont="1" applyBorder="1" applyAlignment="1">
      <alignment horizontal="left" indent="2"/>
    </xf>
    <xf numFmtId="0" fontId="2" fillId="0" borderId="1" xfId="0" applyFont="1" applyFill="1" applyBorder="1" applyAlignment="1">
      <alignment horizontal="right"/>
    </xf>
    <xf numFmtId="167" fontId="20" fillId="11" borderId="35" xfId="0" applyNumberFormat="1" applyFont="1" applyFill="1" applyBorder="1" applyAlignment="1" applyProtection="1">
      <alignment horizontal="right"/>
      <protection locked="0"/>
    </xf>
    <xf numFmtId="167" fontId="20" fillId="11" borderId="4" xfId="0" applyNumberFormat="1" applyFont="1" applyFill="1" applyBorder="1" applyAlignment="1" applyProtection="1">
      <alignment horizontal="right"/>
      <protection locked="0"/>
    </xf>
    <xf numFmtId="0" fontId="20" fillId="0" borderId="0" xfId="0" applyFont="1" applyBorder="1" applyAlignment="1">
      <alignment horizontal="left"/>
    </xf>
    <xf numFmtId="0" fontId="2" fillId="8" borderId="0" xfId="0" applyFont="1" applyFill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2" fillId="8" borderId="0" xfId="0" applyFont="1" applyFill="1" applyBorder="1"/>
    <xf numFmtId="0" fontId="24" fillId="0" borderId="0" xfId="0" applyFont="1"/>
    <xf numFmtId="0" fontId="1" fillId="0" borderId="0" xfId="0" applyFont="1"/>
    <xf numFmtId="0" fontId="2" fillId="0" borderId="6" xfId="0" applyFont="1" applyBorder="1" applyAlignment="1">
      <alignment horizontal="left" wrapText="1"/>
    </xf>
    <xf numFmtId="167" fontId="20" fillId="11" borderId="15" xfId="0" applyNumberFormat="1" applyFont="1" applyFill="1" applyBorder="1" applyAlignment="1" applyProtection="1">
      <alignment horizontal="right"/>
      <protection locked="0"/>
    </xf>
    <xf numFmtId="167" fontId="20" fillId="11" borderId="16" xfId="0" applyNumberFormat="1" applyFont="1" applyFill="1" applyBorder="1" applyAlignment="1" applyProtection="1">
      <alignment horizontal="right"/>
      <protection locked="0"/>
    </xf>
    <xf numFmtId="167" fontId="3" fillId="8" borderId="21" xfId="0" applyNumberFormat="1" applyFont="1" applyFill="1" applyBorder="1"/>
    <xf numFmtId="10" fontId="25" fillId="0" borderId="44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indent="1"/>
    </xf>
    <xf numFmtId="0" fontId="3" fillId="2" borderId="32" xfId="0" applyFont="1" applyFill="1" applyBorder="1" applyAlignment="1">
      <alignment horizontal="left" vertical="top" wrapText="1"/>
    </xf>
    <xf numFmtId="0" fontId="3" fillId="3" borderId="32" xfId="0" applyFont="1" applyFill="1" applyBorder="1" applyAlignment="1">
      <alignment horizontal="left" vertical="top"/>
    </xf>
    <xf numFmtId="0" fontId="2" fillId="0" borderId="32" xfId="0" applyFont="1" applyBorder="1" applyAlignment="1">
      <alignment horizontal="left" indent="2"/>
    </xf>
    <xf numFmtId="0" fontId="2" fillId="0" borderId="36" xfId="0" applyFont="1" applyBorder="1" applyAlignment="1">
      <alignment horizontal="left" indent="1"/>
    </xf>
    <xf numFmtId="0" fontId="2" fillId="0" borderId="46" xfId="0" applyFont="1" applyFill="1" applyBorder="1" applyAlignment="1">
      <alignment horizontal="left" indent="1"/>
    </xf>
    <xf numFmtId="0" fontId="2" fillId="0" borderId="29" xfId="0" applyFont="1" applyFill="1" applyBorder="1" applyAlignment="1">
      <alignment horizontal="center"/>
    </xf>
    <xf numFmtId="0" fontId="0" fillId="9" borderId="0" xfId="0" applyFill="1"/>
    <xf numFmtId="0" fontId="9" fillId="8" borderId="0" xfId="0" applyFont="1" applyFill="1"/>
    <xf numFmtId="0" fontId="1" fillId="8" borderId="0" xfId="0" applyFont="1" applyFill="1"/>
    <xf numFmtId="10" fontId="3" fillId="0" borderId="44" xfId="0" applyNumberFormat="1" applyFont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10" fontId="25" fillId="0" borderId="10" xfId="0" applyNumberFormat="1" applyFont="1" applyBorder="1" applyAlignment="1">
      <alignment horizontal="center" vertical="center" wrapText="1"/>
    </xf>
    <xf numFmtId="0" fontId="2" fillId="8" borderId="48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3" fontId="20" fillId="6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7" fontId="20" fillId="11" borderId="4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Alignment="1">
      <alignment horizontal="center"/>
    </xf>
    <xf numFmtId="165" fontId="6" fillId="0" borderId="0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8" borderId="45" xfId="0" applyFont="1" applyFill="1" applyBorder="1" applyAlignment="1">
      <alignment horizontal="left"/>
    </xf>
    <xf numFmtId="0" fontId="2" fillId="8" borderId="47" xfId="0" applyFont="1" applyFill="1" applyBorder="1" applyAlignment="1">
      <alignment horizontal="left"/>
    </xf>
    <xf numFmtId="0" fontId="26" fillId="0" borderId="0" xfId="0" applyFont="1" applyFill="1" applyAlignment="1"/>
    <xf numFmtId="0" fontId="27" fillId="0" borderId="0" xfId="0" applyFont="1"/>
    <xf numFmtId="0" fontId="0" fillId="0" borderId="0" xfId="0" applyAlignment="1">
      <alignment vertical="center"/>
    </xf>
    <xf numFmtId="167" fontId="0" fillId="0" borderId="0" xfId="0" applyNumberFormat="1" applyAlignment="1">
      <alignment vertical="center"/>
    </xf>
    <xf numFmtId="0" fontId="22" fillId="0" borderId="0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1" xfId="0" applyFont="1" applyFill="1" applyBorder="1" applyAlignment="1">
      <alignment horizontal="right"/>
    </xf>
    <xf numFmtId="168" fontId="23" fillId="8" borderId="4" xfId="0" applyNumberFormat="1" applyFont="1" applyFill="1" applyBorder="1"/>
    <xf numFmtId="0" fontId="23" fillId="0" borderId="0" xfId="0" applyFont="1" applyFill="1" applyBorder="1" applyAlignment="1">
      <alignment horizontal="right"/>
    </xf>
    <xf numFmtId="168" fontId="23" fillId="0" borderId="0" xfId="0" applyNumberFormat="1" applyFont="1" applyFill="1" applyBorder="1"/>
    <xf numFmtId="10" fontId="3" fillId="0" borderId="23" xfId="0" applyNumberFormat="1" applyFont="1" applyBorder="1" applyAlignment="1">
      <alignment horizontal="center" vertical="center" wrapText="1"/>
    </xf>
    <xf numFmtId="167" fontId="21" fillId="10" borderId="4" xfId="0" applyNumberFormat="1" applyFont="1" applyFill="1" applyBorder="1" applyAlignment="1">
      <alignment horizontal="right" vertical="center"/>
    </xf>
    <xf numFmtId="167" fontId="2" fillId="0" borderId="4" xfId="0" applyNumberFormat="1" applyFont="1" applyBorder="1" applyAlignment="1">
      <alignment horizontal="right" vertical="center"/>
    </xf>
    <xf numFmtId="164" fontId="21" fillId="10" borderId="4" xfId="0" applyNumberFormat="1" applyFont="1" applyFill="1" applyBorder="1" applyAlignment="1">
      <alignment horizontal="right" vertical="center"/>
    </xf>
    <xf numFmtId="164" fontId="22" fillId="2" borderId="8" xfId="0" applyNumberFormat="1" applyFont="1" applyFill="1" applyBorder="1" applyAlignment="1">
      <alignment horizontal="right" vertical="center"/>
    </xf>
    <xf numFmtId="164" fontId="23" fillId="0" borderId="7" xfId="0" applyNumberFormat="1" applyFont="1" applyBorder="1" applyAlignment="1">
      <alignment horizontal="right" vertical="center"/>
    </xf>
    <xf numFmtId="164" fontId="23" fillId="0" borderId="4" xfId="0" applyNumberFormat="1" applyFont="1" applyBorder="1" applyAlignment="1">
      <alignment horizontal="right" vertical="center"/>
    </xf>
    <xf numFmtId="164" fontId="23" fillId="0" borderId="8" xfId="0" applyNumberFormat="1" applyFont="1" applyBorder="1" applyAlignment="1">
      <alignment horizontal="right" vertical="center"/>
    </xf>
    <xf numFmtId="164" fontId="23" fillId="0" borderId="6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right"/>
    </xf>
    <xf numFmtId="0" fontId="2" fillId="0" borderId="32" xfId="0" applyFont="1" applyBorder="1" applyAlignment="1">
      <alignment horizontal="left" wrapText="1" indent="1"/>
    </xf>
    <xf numFmtId="167" fontId="2" fillId="0" borderId="18" xfId="0" applyNumberFormat="1" applyFont="1" applyBorder="1" applyAlignment="1">
      <alignment horizontal="right" vertical="center"/>
    </xf>
    <xf numFmtId="167" fontId="2" fillId="0" borderId="15" xfId="0" applyNumberFormat="1" applyFont="1" applyBorder="1" applyAlignment="1">
      <alignment horizontal="right" vertical="center"/>
    </xf>
    <xf numFmtId="164" fontId="3" fillId="3" borderId="35" xfId="0" applyNumberFormat="1" applyFont="1" applyFill="1" applyBorder="1" applyAlignment="1">
      <alignment horizontal="right" vertical="center"/>
    </xf>
    <xf numFmtId="167" fontId="5" fillId="0" borderId="18" xfId="0" applyNumberFormat="1" applyFont="1" applyBorder="1" applyAlignment="1">
      <alignment horizontal="right" vertical="center"/>
    </xf>
    <xf numFmtId="167" fontId="5" fillId="0" borderId="4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2" fillId="0" borderId="16" xfId="0" applyNumberFormat="1" applyFont="1" applyBorder="1" applyAlignment="1">
      <alignment horizontal="right" vertical="center"/>
    </xf>
    <xf numFmtId="167" fontId="2" fillId="0" borderId="17" xfId="0" applyNumberFormat="1" applyFont="1" applyBorder="1" applyAlignment="1">
      <alignment horizontal="right" vertical="center"/>
    </xf>
    <xf numFmtId="164" fontId="5" fillId="0" borderId="25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/>
    </xf>
    <xf numFmtId="164" fontId="12" fillId="0" borderId="21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7" fontId="5" fillId="17" borderId="4" xfId="0" applyNumberFormat="1" applyFont="1" applyFill="1" applyBorder="1" applyAlignment="1">
      <alignment horizontal="right"/>
    </xf>
    <xf numFmtId="167" fontId="2" fillId="0" borderId="30" xfId="0" applyNumberFormat="1" applyFont="1" applyBorder="1" applyAlignment="1">
      <alignment horizontal="right" vertical="center"/>
    </xf>
    <xf numFmtId="167" fontId="2" fillId="0" borderId="25" xfId="0" applyNumberFormat="1" applyFont="1" applyBorder="1" applyAlignment="1">
      <alignment horizontal="right" vertical="center"/>
    </xf>
    <xf numFmtId="167" fontId="2" fillId="0" borderId="31" xfId="0" applyNumberFormat="1" applyFont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top"/>
    </xf>
    <xf numFmtId="167" fontId="3" fillId="2" borderId="37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167" fontId="3" fillId="2" borderId="35" xfId="0" applyNumberFormat="1" applyFont="1" applyFill="1" applyBorder="1" applyAlignment="1">
      <alignment horizontal="right" vertical="center"/>
    </xf>
    <xf numFmtId="164" fontId="3" fillId="3" borderId="37" xfId="0" applyNumberFormat="1" applyFont="1" applyFill="1" applyBorder="1" applyAlignment="1">
      <alignment horizontal="right" vertical="center"/>
    </xf>
    <xf numFmtId="167" fontId="5" fillId="0" borderId="34" xfId="0" applyNumberFormat="1" applyFont="1" applyBorder="1" applyAlignment="1">
      <alignment horizontal="right" vertical="center"/>
    </xf>
    <xf numFmtId="166" fontId="2" fillId="9" borderId="19" xfId="0" applyNumberFormat="1" applyFont="1" applyFill="1" applyBorder="1" applyAlignment="1">
      <alignment horizontal="center" vertical="center"/>
    </xf>
    <xf numFmtId="166" fontId="2" fillId="9" borderId="16" xfId="0" applyNumberFormat="1" applyFont="1" applyFill="1" applyBorder="1" applyAlignment="1">
      <alignment horizontal="center" vertical="center"/>
    </xf>
    <xf numFmtId="166" fontId="2" fillId="9" borderId="17" xfId="0" applyNumberFormat="1" applyFont="1" applyFill="1" applyBorder="1" applyAlignment="1">
      <alignment horizontal="center" vertical="center"/>
    </xf>
    <xf numFmtId="164" fontId="3" fillId="3" borderId="56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3" borderId="40" xfId="0" applyNumberFormat="1" applyFont="1" applyFill="1" applyBorder="1" applyAlignment="1">
      <alignment horizontal="right" vertical="center"/>
    </xf>
    <xf numFmtId="167" fontId="2" fillId="0" borderId="38" xfId="0" applyNumberFormat="1" applyFont="1" applyBorder="1" applyAlignment="1">
      <alignment horizontal="right" vertical="center"/>
    </xf>
    <xf numFmtId="167" fontId="2" fillId="0" borderId="56" xfId="0" applyNumberFormat="1" applyFont="1" applyBorder="1" applyAlignment="1">
      <alignment horizontal="right" vertical="center"/>
    </xf>
    <xf numFmtId="167" fontId="2" fillId="0" borderId="5" xfId="0" applyNumberFormat="1" applyFont="1" applyBorder="1" applyAlignment="1">
      <alignment horizontal="right" vertical="center"/>
    </xf>
    <xf numFmtId="167" fontId="2" fillId="0" borderId="40" xfId="0" applyNumberFormat="1" applyFont="1" applyBorder="1" applyAlignment="1">
      <alignment horizontal="right" vertical="center"/>
    </xf>
    <xf numFmtId="167" fontId="5" fillId="0" borderId="30" xfId="0" applyNumberFormat="1" applyFont="1" applyBorder="1" applyAlignment="1">
      <alignment horizontal="right" vertical="center"/>
    </xf>
    <xf numFmtId="167" fontId="5" fillId="0" borderId="25" xfId="0" applyNumberFormat="1" applyFont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7" fontId="5" fillId="0" borderId="38" xfId="0" applyNumberFormat="1" applyFont="1" applyBorder="1" applyAlignment="1">
      <alignment horizontal="right" vertical="center"/>
    </xf>
    <xf numFmtId="167" fontId="2" fillId="0" borderId="57" xfId="0" applyNumberFormat="1" applyFont="1" applyBorder="1" applyAlignment="1">
      <alignment horizontal="right" vertical="center"/>
    </xf>
    <xf numFmtId="167" fontId="2" fillId="0" borderId="58" xfId="0" applyNumberFormat="1" applyFont="1" applyBorder="1" applyAlignment="1">
      <alignment horizontal="right" vertical="center"/>
    </xf>
    <xf numFmtId="167" fontId="2" fillId="0" borderId="48" xfId="0" applyNumberFormat="1" applyFont="1" applyBorder="1" applyAlignment="1">
      <alignment horizontal="right" vertical="center"/>
    </xf>
    <xf numFmtId="0" fontId="29" fillId="0" borderId="44" xfId="0" applyFont="1" applyBorder="1" applyAlignment="1">
      <alignment vertical="center" wrapText="1"/>
    </xf>
    <xf numFmtId="170" fontId="31" fillId="0" borderId="11" xfId="3" applyNumberFormat="1" applyFont="1" applyBorder="1" applyAlignment="1">
      <alignment horizontal="right" vertical="center"/>
    </xf>
    <xf numFmtId="170" fontId="31" fillId="0" borderId="9" xfId="3" applyNumberFormat="1" applyFont="1" applyBorder="1" applyAlignment="1">
      <alignment horizontal="right" vertical="center"/>
    </xf>
    <xf numFmtId="170" fontId="31" fillId="0" borderId="10" xfId="3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165" fontId="29" fillId="0" borderId="23" xfId="3" applyFont="1" applyBorder="1" applyAlignment="1">
      <alignment horizontal="center" vertical="center" wrapText="1"/>
    </xf>
    <xf numFmtId="165" fontId="29" fillId="0" borderId="11" xfId="3" applyFont="1" applyBorder="1" applyAlignment="1">
      <alignment horizontal="center" vertical="center" wrapText="1"/>
    </xf>
    <xf numFmtId="165" fontId="29" fillId="0" borderId="9" xfId="3" applyFont="1" applyBorder="1" applyAlignment="1">
      <alignment horizontal="center" vertical="center" wrapText="1"/>
    </xf>
    <xf numFmtId="165" fontId="29" fillId="0" borderId="10" xfId="3" applyFont="1" applyBorder="1" applyAlignment="1">
      <alignment horizontal="center" vertical="center" wrapText="1"/>
    </xf>
    <xf numFmtId="165" fontId="30" fillId="0" borderId="10" xfId="3" applyFont="1" applyBorder="1" applyAlignment="1">
      <alignment horizontal="center" vertical="center"/>
    </xf>
    <xf numFmtId="165" fontId="29" fillId="0" borderId="13" xfId="3" applyFont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vertical="center"/>
    </xf>
    <xf numFmtId="167" fontId="31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" fillId="3" borderId="43" xfId="0" applyFont="1" applyFill="1" applyBorder="1" applyAlignment="1">
      <alignment horizontal="left" vertical="top"/>
    </xf>
    <xf numFmtId="0" fontId="12" fillId="3" borderId="59" xfId="0" applyFont="1" applyFill="1" applyBorder="1" applyAlignment="1">
      <alignment horizontal="center" vertical="top"/>
    </xf>
    <xf numFmtId="167" fontId="3" fillId="2" borderId="59" xfId="0" applyNumberFormat="1" applyFont="1" applyFill="1" applyBorder="1" applyAlignment="1">
      <alignment horizontal="right" vertical="center"/>
    </xf>
    <xf numFmtId="167" fontId="3" fillId="2" borderId="60" xfId="0" applyNumberFormat="1" applyFont="1" applyFill="1" applyBorder="1" applyAlignment="1">
      <alignment horizontal="right" vertical="center"/>
    </xf>
    <xf numFmtId="0" fontId="12" fillId="3" borderId="37" xfId="0" applyFont="1" applyFill="1" applyBorder="1" applyAlignment="1">
      <alignment horizontal="center" vertical="top"/>
    </xf>
    <xf numFmtId="164" fontId="2" fillId="0" borderId="25" xfId="0" applyNumberFormat="1" applyFont="1" applyBorder="1" applyAlignment="1">
      <alignment horizontal="right"/>
    </xf>
    <xf numFmtId="164" fontId="2" fillId="0" borderId="31" xfId="0" applyNumberFormat="1" applyFont="1" applyBorder="1" applyAlignment="1">
      <alignment horizontal="right"/>
    </xf>
    <xf numFmtId="167" fontId="2" fillId="7" borderId="18" xfId="0" applyNumberFormat="1" applyFont="1" applyFill="1" applyBorder="1" applyAlignment="1">
      <alignment horizontal="right"/>
    </xf>
    <xf numFmtId="167" fontId="2" fillId="7" borderId="7" xfId="0" applyNumberFormat="1" applyFont="1" applyFill="1" applyBorder="1" applyAlignment="1">
      <alignment horizontal="right"/>
    </xf>
    <xf numFmtId="167" fontId="2" fillId="7" borderId="35" xfId="0" applyNumberFormat="1" applyFont="1" applyFill="1" applyBorder="1" applyAlignment="1">
      <alignment horizontal="right"/>
    </xf>
    <xf numFmtId="167" fontId="2" fillId="7" borderId="30" xfId="0" applyNumberFormat="1" applyFont="1" applyFill="1" applyBorder="1" applyAlignment="1">
      <alignment horizontal="right"/>
    </xf>
    <xf numFmtId="167" fontId="2" fillId="7" borderId="25" xfId="0" applyNumberFormat="1" applyFont="1" applyFill="1" applyBorder="1" applyAlignment="1">
      <alignment horizontal="right"/>
    </xf>
    <xf numFmtId="167" fontId="2" fillId="7" borderId="31" xfId="0" applyNumberFormat="1" applyFont="1" applyFill="1" applyBorder="1" applyAlignment="1">
      <alignment horizontal="right"/>
    </xf>
    <xf numFmtId="167" fontId="2" fillId="7" borderId="26" xfId="0" applyNumberFormat="1" applyFont="1" applyFill="1" applyBorder="1" applyAlignment="1">
      <alignment horizontal="right"/>
    </xf>
    <xf numFmtId="167" fontId="2" fillId="7" borderId="38" xfId="0" applyNumberFormat="1" applyFont="1" applyFill="1" applyBorder="1" applyAlignment="1">
      <alignment horizontal="right"/>
    </xf>
    <xf numFmtId="0" fontId="12" fillId="3" borderId="37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30" fillId="0" borderId="0" xfId="0" applyFont="1" applyAlignment="1">
      <alignment horizontal="center"/>
    </xf>
    <xf numFmtId="167" fontId="30" fillId="0" borderId="0" xfId="3" applyNumberFormat="1" applyFont="1" applyAlignment="1">
      <alignment horizontal="right" vertical="center"/>
    </xf>
    <xf numFmtId="0" fontId="30" fillId="0" borderId="0" xfId="0" applyFont="1"/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 applyAlignment="1">
      <alignment horizontal="right" vertical="center"/>
    </xf>
    <xf numFmtId="0" fontId="0" fillId="0" borderId="0" xfId="0" applyNumberFormat="1" applyBorder="1"/>
    <xf numFmtId="0" fontId="5" fillId="0" borderId="54" xfId="0" applyNumberFormat="1" applyFont="1" applyFill="1" applyBorder="1" applyAlignment="1">
      <alignment horizontal="right"/>
    </xf>
    <xf numFmtId="167" fontId="5" fillId="17" borderId="5" xfId="0" applyNumberFormat="1" applyFont="1" applyFill="1" applyBorder="1" applyAlignment="1">
      <alignment horizontal="right"/>
    </xf>
    <xf numFmtId="164" fontId="12" fillId="0" borderId="22" xfId="0" applyNumberFormat="1" applyFont="1" applyBorder="1" applyAlignment="1">
      <alignment horizontal="right"/>
    </xf>
    <xf numFmtId="169" fontId="12" fillId="0" borderId="9" xfId="0" applyNumberFormat="1" applyFont="1" applyBorder="1" applyAlignment="1">
      <alignment horizontal="right"/>
    </xf>
    <xf numFmtId="169" fontId="12" fillId="0" borderId="13" xfId="0" applyNumberFormat="1" applyFont="1" applyBorder="1" applyAlignment="1">
      <alignment horizontal="right"/>
    </xf>
    <xf numFmtId="169" fontId="12" fillId="0" borderId="23" xfId="0" applyNumberFormat="1" applyFont="1" applyBorder="1" applyAlignment="1">
      <alignment horizontal="right"/>
    </xf>
    <xf numFmtId="0" fontId="33" fillId="0" borderId="0" xfId="0" applyFont="1" applyBorder="1" applyAlignment="1">
      <alignment horizontal="center" vertical="center"/>
    </xf>
    <xf numFmtId="0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/>
    </xf>
    <xf numFmtId="167" fontId="5" fillId="17" borderId="7" xfId="0" applyNumberFormat="1" applyFont="1" applyFill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7" fontId="5" fillId="17" borderId="55" xfId="0" applyNumberFormat="1" applyFont="1" applyFill="1" applyBorder="1" applyAlignment="1">
      <alignment horizontal="right"/>
    </xf>
    <xf numFmtId="169" fontId="12" fillId="0" borderId="11" xfId="0" applyNumberFormat="1" applyFont="1" applyBorder="1" applyAlignment="1">
      <alignment horizontal="right"/>
    </xf>
    <xf numFmtId="0" fontId="5" fillId="0" borderId="8" xfId="0" applyNumberFormat="1" applyFont="1" applyBorder="1" applyAlignment="1">
      <alignment horizontal="left" vertical="center" wrapText="1"/>
    </xf>
    <xf numFmtId="0" fontId="23" fillId="0" borderId="8" xfId="0" applyNumberFormat="1" applyFont="1" applyBorder="1" applyAlignment="1">
      <alignment vertical="center" wrapText="1"/>
    </xf>
    <xf numFmtId="0" fontId="5" fillId="0" borderId="22" xfId="0" applyNumberFormat="1" applyFont="1" applyBorder="1" applyAlignment="1">
      <alignment horizontal="left" vertical="center" wrapText="1"/>
    </xf>
    <xf numFmtId="0" fontId="5" fillId="0" borderId="23" xfId="0" applyNumberFormat="1" applyFont="1" applyBorder="1" applyAlignment="1">
      <alignment horizontal="left" vertical="center" wrapText="1"/>
    </xf>
    <xf numFmtId="170" fontId="29" fillId="0" borderId="14" xfId="3" applyNumberFormat="1" applyFont="1" applyBorder="1" applyAlignment="1">
      <alignment horizontal="right" vertical="center"/>
    </xf>
    <xf numFmtId="170" fontId="31" fillId="0" borderId="13" xfId="3" applyNumberFormat="1" applyFont="1" applyBorder="1" applyAlignment="1">
      <alignment horizontal="right" vertical="center"/>
    </xf>
    <xf numFmtId="170" fontId="29" fillId="0" borderId="23" xfId="3" applyNumberFormat="1" applyFont="1" applyBorder="1" applyAlignment="1">
      <alignment horizontal="right" vertical="center"/>
    </xf>
    <xf numFmtId="0" fontId="2" fillId="8" borderId="32" xfId="0" applyFont="1" applyFill="1" applyBorder="1" applyAlignment="1">
      <alignment horizontal="left"/>
    </xf>
    <xf numFmtId="0" fontId="3" fillId="3" borderId="32" xfId="0" applyFont="1" applyFill="1" applyBorder="1" applyAlignment="1">
      <alignment horizontal="left" vertical="center"/>
    </xf>
    <xf numFmtId="167" fontId="32" fillId="0" borderId="0" xfId="3" applyNumberFormat="1" applyFont="1" applyAlignment="1">
      <alignment horizontal="right" vertical="center"/>
    </xf>
    <xf numFmtId="167" fontId="35" fillId="0" borderId="0" xfId="0" applyNumberFormat="1" applyFont="1" applyAlignment="1">
      <alignment horizontal="center"/>
    </xf>
    <xf numFmtId="167" fontId="31" fillId="0" borderId="0" xfId="3" applyNumberFormat="1" applyFont="1" applyAlignment="1">
      <alignment horizontal="right" vertical="center"/>
    </xf>
    <xf numFmtId="167" fontId="29" fillId="0" borderId="0" xfId="3" applyNumberFormat="1" applyFont="1" applyAlignment="1">
      <alignment horizontal="right" vertical="center"/>
    </xf>
    <xf numFmtId="164" fontId="23" fillId="2" borderId="7" xfId="0" applyNumberFormat="1" applyFont="1" applyFill="1" applyBorder="1" applyAlignment="1">
      <alignment horizontal="right" vertical="center"/>
    </xf>
    <xf numFmtId="164" fontId="23" fillId="2" borderId="4" xfId="0" applyNumberFormat="1" applyFont="1" applyFill="1" applyBorder="1" applyAlignment="1">
      <alignment horizontal="right" vertical="center"/>
    </xf>
    <xf numFmtId="0" fontId="2" fillId="8" borderId="2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167" fontId="20" fillId="11" borderId="26" xfId="0" applyNumberFormat="1" applyFont="1" applyFill="1" applyBorder="1" applyAlignment="1" applyProtection="1">
      <alignment horizontal="right"/>
      <protection locked="0" hidden="1"/>
    </xf>
    <xf numFmtId="167" fontId="20" fillId="11" borderId="25" xfId="0" applyNumberFormat="1" applyFont="1" applyFill="1" applyBorder="1" applyAlignment="1" applyProtection="1">
      <alignment horizontal="right"/>
      <protection locked="0" hidden="1"/>
    </xf>
    <xf numFmtId="167" fontId="20" fillId="11" borderId="31" xfId="0" applyNumberFormat="1" applyFont="1" applyFill="1" applyBorder="1" applyAlignment="1" applyProtection="1">
      <alignment horizontal="right"/>
      <protection locked="0" hidden="1"/>
    </xf>
    <xf numFmtId="164" fontId="3" fillId="3" borderId="3" xfId="0" applyNumberFormat="1" applyFont="1" applyFill="1" applyBorder="1" applyAlignment="1">
      <alignment horizontal="right" vertical="center"/>
    </xf>
    <xf numFmtId="164" fontId="3" fillId="3" borderId="4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 vertical="center"/>
    </xf>
    <xf numFmtId="164" fontId="3" fillId="3" borderId="15" xfId="0" applyNumberFormat="1" applyFont="1" applyFill="1" applyBorder="1" applyAlignment="1">
      <alignment horizontal="right" vertical="center"/>
    </xf>
    <xf numFmtId="167" fontId="20" fillId="14" borderId="0" xfId="0" applyNumberFormat="1" applyFont="1" applyFill="1" applyBorder="1" applyAlignment="1" applyProtection="1">
      <alignment horizontal="right"/>
    </xf>
    <xf numFmtId="167" fontId="20" fillId="8" borderId="0" xfId="0" applyNumberFormat="1" applyFont="1" applyFill="1" applyBorder="1" applyAlignment="1" applyProtection="1">
      <alignment horizontal="right"/>
    </xf>
    <xf numFmtId="0" fontId="20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20" fillId="0" borderId="0" xfId="0" applyFont="1" applyBorder="1" applyProtection="1"/>
    <xf numFmtId="167" fontId="3" fillId="8" borderId="24" xfId="0" applyNumberFormat="1" applyFont="1" applyFill="1" applyBorder="1" applyAlignment="1" applyProtection="1">
      <alignment horizontal="right"/>
    </xf>
    <xf numFmtId="167" fontId="20" fillId="14" borderId="16" xfId="0" applyNumberFormat="1" applyFont="1" applyFill="1" applyBorder="1" applyAlignment="1" applyProtection="1">
      <alignment horizontal="right"/>
    </xf>
    <xf numFmtId="167" fontId="20" fillId="14" borderId="17" xfId="0" applyNumberFormat="1" applyFont="1" applyFill="1" applyBorder="1" applyAlignment="1" applyProtection="1">
      <alignment horizontal="right"/>
    </xf>
    <xf numFmtId="0" fontId="2" fillId="8" borderId="0" xfId="0" applyFont="1" applyFill="1" applyProtection="1"/>
    <xf numFmtId="0" fontId="0" fillId="8" borderId="0" xfId="0" applyFill="1" applyProtection="1"/>
    <xf numFmtId="167" fontId="20" fillId="11" borderId="4" xfId="0" applyNumberFormat="1" applyFont="1" applyFill="1" applyBorder="1" applyAlignment="1" applyProtection="1">
      <alignment horizontal="right"/>
    </xf>
    <xf numFmtId="0" fontId="23" fillId="2" borderId="45" xfId="0" applyFont="1" applyFill="1" applyBorder="1" applyAlignment="1">
      <alignment horizontal="left" indent="1"/>
    </xf>
    <xf numFmtId="0" fontId="23" fillId="3" borderId="31" xfId="0" applyFont="1" applyFill="1" applyBorder="1" applyAlignment="1">
      <alignment horizontal="center" vertical="center"/>
    </xf>
    <xf numFmtId="164" fontId="23" fillId="2" borderId="26" xfId="0" applyNumberFormat="1" applyFont="1" applyFill="1" applyBorder="1" applyAlignment="1">
      <alignment horizontal="right" vertical="center"/>
    </xf>
    <xf numFmtId="164" fontId="23" fillId="2" borderId="25" xfId="0" applyNumberFormat="1" applyFont="1" applyFill="1" applyBorder="1" applyAlignment="1">
      <alignment horizontal="right" vertical="center"/>
    </xf>
    <xf numFmtId="164" fontId="23" fillId="2" borderId="34" xfId="0" applyNumberFormat="1" applyFont="1" applyFill="1" applyBorder="1" applyAlignment="1">
      <alignment horizontal="right" vertical="center"/>
    </xf>
    <xf numFmtId="164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indent="1"/>
    </xf>
    <xf numFmtId="0" fontId="23" fillId="3" borderId="15" xfId="0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164" fontId="23" fillId="8" borderId="7" xfId="0" applyNumberFormat="1" applyFont="1" applyFill="1" applyBorder="1" applyAlignment="1">
      <alignment horizontal="right" vertical="center"/>
    </xf>
    <xf numFmtId="164" fontId="22" fillId="8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3"/>
    </xf>
    <xf numFmtId="0" fontId="23" fillId="0" borderId="15" xfId="0" applyFont="1" applyBorder="1" applyAlignment="1">
      <alignment horizontal="center" vertical="center"/>
    </xf>
    <xf numFmtId="164" fontId="36" fillId="10" borderId="7" xfId="0" applyNumberFormat="1" applyFont="1" applyFill="1" applyBorder="1" applyAlignment="1">
      <alignment horizontal="right" vertical="center"/>
    </xf>
    <xf numFmtId="164" fontId="36" fillId="10" borderId="4" xfId="0" applyNumberFormat="1" applyFont="1" applyFill="1" applyBorder="1" applyAlignment="1">
      <alignment horizontal="right" vertical="center"/>
    </xf>
    <xf numFmtId="164" fontId="36" fillId="10" borderId="6" xfId="0" applyNumberFormat="1" applyFont="1" applyFill="1" applyBorder="1" applyAlignment="1">
      <alignment horizontal="right" vertical="center"/>
    </xf>
    <xf numFmtId="164" fontId="23" fillId="8" borderId="8" xfId="0" applyNumberFormat="1" applyFont="1" applyFill="1" applyBorder="1" applyAlignment="1">
      <alignment horizontal="right" vertical="center"/>
    </xf>
    <xf numFmtId="164" fontId="23" fillId="12" borderId="8" xfId="0" applyNumberFormat="1" applyFont="1" applyFill="1" applyBorder="1" applyAlignment="1" applyProtection="1">
      <alignment horizontal="right" vertical="center"/>
      <protection locked="0"/>
    </xf>
    <xf numFmtId="167" fontId="23" fillId="11" borderId="7" xfId="0" applyNumberFormat="1" applyFont="1" applyFill="1" applyBorder="1" applyAlignment="1" applyProtection="1">
      <alignment horizontal="right" vertical="center"/>
      <protection locked="0"/>
    </xf>
    <xf numFmtId="164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indent="2"/>
    </xf>
    <xf numFmtId="0" fontId="23" fillId="15" borderId="32" xfId="0" applyFont="1" applyFill="1" applyBorder="1" applyAlignment="1">
      <alignment horizontal="left"/>
    </xf>
    <xf numFmtId="164" fontId="23" fillId="15" borderId="15" xfId="0" applyNumberFormat="1" applyFont="1" applyFill="1" applyBorder="1" applyAlignment="1">
      <alignment horizontal="center" vertical="center"/>
    </xf>
    <xf numFmtId="164" fontId="23" fillId="15" borderId="7" xfId="0" applyNumberFormat="1" applyFont="1" applyFill="1" applyBorder="1" applyAlignment="1">
      <alignment horizontal="right" vertical="center"/>
    </xf>
    <xf numFmtId="164" fontId="23" fillId="15" borderId="4" xfId="0" applyNumberFormat="1" applyFont="1" applyFill="1" applyBorder="1" applyAlignment="1">
      <alignment horizontal="right" vertical="center"/>
    </xf>
    <xf numFmtId="164" fontId="23" fillId="15" borderId="6" xfId="0" applyNumberFormat="1" applyFont="1" applyFill="1" applyBorder="1" applyAlignment="1">
      <alignment horizontal="right" vertical="center"/>
    </xf>
    <xf numFmtId="164" fontId="22" fillId="15" borderId="8" xfId="0" applyNumberFormat="1" applyFont="1" applyFill="1" applyBorder="1" applyAlignment="1">
      <alignment horizontal="right" vertical="center"/>
    </xf>
    <xf numFmtId="164" fontId="23" fillId="2" borderId="15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left" wrapText="1" indent="2"/>
    </xf>
    <xf numFmtId="0" fontId="23" fillId="5" borderId="15" xfId="0" applyFont="1" applyFill="1" applyBorder="1" applyAlignment="1">
      <alignment horizontal="center" vertical="center"/>
    </xf>
    <xf numFmtId="164" fontId="23" fillId="5" borderId="7" xfId="0" applyNumberFormat="1" applyFont="1" applyFill="1" applyBorder="1" applyAlignment="1">
      <alignment horizontal="right" vertical="center"/>
    </xf>
    <xf numFmtId="164" fontId="23" fillId="5" borderId="4" xfId="0" applyNumberFormat="1" applyFont="1" applyFill="1" applyBorder="1" applyAlignment="1">
      <alignment horizontal="right" vertical="center"/>
    </xf>
    <xf numFmtId="164" fontId="22" fillId="5" borderId="8" xfId="0" applyNumberFormat="1" applyFont="1" applyFill="1" applyBorder="1" applyAlignment="1">
      <alignment horizontal="right" vertical="center"/>
    </xf>
    <xf numFmtId="164" fontId="23" fillId="5" borderId="6" xfId="0" applyNumberFormat="1" applyFont="1" applyFill="1" applyBorder="1" applyAlignment="1">
      <alignment horizontal="right" vertical="center"/>
    </xf>
    <xf numFmtId="164" fontId="23" fillId="5" borderId="37" xfId="0" applyNumberFormat="1" applyFont="1" applyFill="1" applyBorder="1" applyAlignment="1">
      <alignment horizontal="right" vertical="center"/>
    </xf>
    <xf numFmtId="164" fontId="23" fillId="4" borderId="7" xfId="0" applyNumberFormat="1" applyFont="1" applyFill="1" applyBorder="1" applyAlignment="1">
      <alignment horizontal="right" vertical="center"/>
    </xf>
    <xf numFmtId="164" fontId="23" fillId="10" borderId="4" xfId="0" applyNumberFormat="1" applyFont="1" applyFill="1" applyBorder="1" applyAlignment="1">
      <alignment horizontal="right" vertical="center"/>
    </xf>
    <xf numFmtId="164" fontId="23" fillId="4" borderId="4" xfId="0" applyNumberFormat="1" applyFont="1" applyFill="1" applyBorder="1" applyAlignment="1">
      <alignment horizontal="right" vertical="center"/>
    </xf>
    <xf numFmtId="164" fontId="23" fillId="4" borderId="6" xfId="0" applyNumberFormat="1" applyFont="1" applyFill="1" applyBorder="1" applyAlignment="1">
      <alignment horizontal="right" vertical="center"/>
    </xf>
    <xf numFmtId="164" fontId="23" fillId="4" borderId="25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/>
    </xf>
    <xf numFmtId="164" fontId="23" fillId="15" borderId="17" xfId="0" applyNumberFormat="1" applyFont="1" applyFill="1" applyBorder="1" applyAlignment="1">
      <alignment horizontal="center"/>
    </xf>
    <xf numFmtId="164" fontId="23" fillId="15" borderId="27" xfId="0" applyNumberFormat="1" applyFont="1" applyFill="1" applyBorder="1" applyAlignment="1">
      <alignment horizontal="right" vertical="center"/>
    </xf>
    <xf numFmtId="164" fontId="23" fillId="15" borderId="16" xfId="0" applyNumberFormat="1" applyFont="1" applyFill="1" applyBorder="1" applyAlignment="1">
      <alignment horizontal="right" vertical="center"/>
    </xf>
    <xf numFmtId="164" fontId="23" fillId="15" borderId="28" xfId="0" applyNumberFormat="1" applyFont="1" applyFill="1" applyBorder="1" applyAlignment="1">
      <alignment horizontal="right" vertical="center"/>
    </xf>
    <xf numFmtId="164" fontId="22" fillId="15" borderId="20" xfId="0" applyNumberFormat="1" applyFont="1" applyFill="1" applyBorder="1" applyAlignment="1">
      <alignment horizontal="right" vertical="center"/>
    </xf>
    <xf numFmtId="0" fontId="23" fillId="2" borderId="45" xfId="0" applyFont="1" applyFill="1" applyBorder="1" applyAlignment="1">
      <alignment horizontal="left" vertical="center" indent="1"/>
    </xf>
    <xf numFmtId="167" fontId="23" fillId="2" borderId="26" xfId="0" applyNumberFormat="1" applyFont="1" applyFill="1" applyBorder="1" applyAlignment="1">
      <alignment horizontal="right" vertical="center"/>
    </xf>
    <xf numFmtId="167" fontId="23" fillId="2" borderId="25" xfId="0" applyNumberFormat="1" applyFont="1" applyFill="1" applyBorder="1" applyAlignment="1">
      <alignment horizontal="right" vertical="center"/>
    </xf>
    <xf numFmtId="167" fontId="23" fillId="2" borderId="34" xfId="0" applyNumberFormat="1" applyFont="1" applyFill="1" applyBorder="1" applyAlignment="1">
      <alignment horizontal="right" vertical="center"/>
    </xf>
    <xf numFmtId="167" fontId="22" fillId="2" borderId="21" xfId="0" applyNumberFormat="1" applyFont="1" applyFill="1" applyBorder="1" applyAlignment="1">
      <alignment horizontal="right" vertical="center"/>
    </xf>
    <xf numFmtId="0" fontId="23" fillId="2" borderId="32" xfId="0" applyFont="1" applyFill="1" applyBorder="1" applyAlignment="1">
      <alignment horizontal="left" vertical="center" indent="1"/>
    </xf>
    <xf numFmtId="167" fontId="23" fillId="2" borderId="7" xfId="0" applyNumberFormat="1" applyFont="1" applyFill="1" applyBorder="1" applyAlignment="1">
      <alignment horizontal="right" vertical="center"/>
    </xf>
    <xf numFmtId="167" fontId="23" fillId="2" borderId="4" xfId="0" applyNumberFormat="1" applyFont="1" applyFill="1" applyBorder="1" applyAlignment="1">
      <alignment horizontal="right" vertical="center"/>
    </xf>
    <xf numFmtId="167" fontId="22" fillId="2" borderId="8" xfId="0" applyNumberFormat="1" applyFont="1" applyFill="1" applyBorder="1" applyAlignment="1">
      <alignment horizontal="right" vertical="center"/>
    </xf>
    <xf numFmtId="167" fontId="23" fillId="8" borderId="7" xfId="0" applyNumberFormat="1" applyFont="1" applyFill="1" applyBorder="1" applyAlignment="1">
      <alignment horizontal="right" vertical="center"/>
    </xf>
    <xf numFmtId="167" fontId="22" fillId="8" borderId="8" xfId="0" applyNumberFormat="1" applyFont="1" applyFill="1" applyBorder="1" applyAlignment="1">
      <alignment horizontal="right" vertical="center"/>
    </xf>
    <xf numFmtId="0" fontId="23" fillId="0" borderId="32" xfId="0" applyNumberFormat="1" applyFont="1" applyFill="1" applyBorder="1" applyAlignment="1">
      <alignment horizontal="left" vertical="center" indent="3"/>
    </xf>
    <xf numFmtId="167" fontId="36" fillId="10" borderId="7" xfId="0" applyNumberFormat="1" applyFont="1" applyFill="1" applyBorder="1" applyAlignment="1">
      <alignment horizontal="right" vertical="center"/>
    </xf>
    <xf numFmtId="167" fontId="36" fillId="10" borderId="4" xfId="0" applyNumberFormat="1" applyFont="1" applyFill="1" applyBorder="1" applyAlignment="1">
      <alignment horizontal="right" vertical="center"/>
    </xf>
    <xf numFmtId="167" fontId="36" fillId="10" borderId="6" xfId="0" applyNumberFormat="1" applyFont="1" applyFill="1" applyBorder="1" applyAlignment="1">
      <alignment horizontal="right" vertical="center"/>
    </xf>
    <xf numFmtId="167" fontId="23" fillId="8" borderId="8" xfId="0" applyNumberFormat="1" applyFont="1" applyFill="1" applyBorder="1" applyAlignment="1">
      <alignment horizontal="right" vertical="center"/>
    </xf>
    <xf numFmtId="167" fontId="23" fillId="8" borderId="4" xfId="0" applyNumberFormat="1" applyFont="1" applyFill="1" applyBorder="1" applyAlignment="1">
      <alignment horizontal="right" vertical="center"/>
    </xf>
    <xf numFmtId="167" fontId="23" fillId="2" borderId="6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2"/>
    </xf>
    <xf numFmtId="167" fontId="23" fillId="0" borderId="7" xfId="0" applyNumberFormat="1" applyFont="1" applyBorder="1" applyAlignment="1">
      <alignment horizontal="right" vertical="center"/>
    </xf>
    <xf numFmtId="167" fontId="23" fillId="0" borderId="4" xfId="0" applyNumberFormat="1" applyFont="1" applyBorder="1" applyAlignment="1">
      <alignment horizontal="right" vertical="center"/>
    </xf>
    <xf numFmtId="167" fontId="23" fillId="0" borderId="6" xfId="0" applyNumberFormat="1" applyFont="1" applyBorder="1" applyAlignment="1">
      <alignment horizontal="right" vertical="center"/>
    </xf>
    <xf numFmtId="167" fontId="23" fillId="0" borderId="8" xfId="0" applyNumberFormat="1" applyFont="1" applyBorder="1" applyAlignment="1">
      <alignment horizontal="right" vertical="center"/>
    </xf>
    <xf numFmtId="0" fontId="23" fillId="15" borderId="32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 wrapText="1" indent="2"/>
    </xf>
    <xf numFmtId="167" fontId="23" fillId="5" borderId="7" xfId="0" applyNumberFormat="1" applyFont="1" applyFill="1" applyBorder="1" applyAlignment="1">
      <alignment horizontal="right" vertical="center"/>
    </xf>
    <xf numFmtId="167" fontId="23" fillId="5" borderId="4" xfId="0" applyNumberFormat="1" applyFont="1" applyFill="1" applyBorder="1" applyAlignment="1">
      <alignment horizontal="right" vertical="center"/>
    </xf>
    <xf numFmtId="167" fontId="23" fillId="5" borderId="6" xfId="0" applyNumberFormat="1" applyFont="1" applyFill="1" applyBorder="1" applyAlignment="1">
      <alignment horizontal="right" vertical="center"/>
    </xf>
    <xf numFmtId="167" fontId="22" fillId="5" borderId="8" xfId="0" applyNumberFormat="1" applyFont="1" applyFill="1" applyBorder="1" applyAlignment="1">
      <alignment horizontal="right" vertical="center"/>
    </xf>
    <xf numFmtId="0" fontId="23" fillId="0" borderId="32" xfId="0" applyFont="1" applyFill="1" applyBorder="1" applyAlignment="1">
      <alignment horizontal="left" vertical="center" indent="3"/>
    </xf>
    <xf numFmtId="167" fontId="23" fillId="4" borderId="7" xfId="0" applyNumberFormat="1" applyFont="1" applyFill="1" applyBorder="1" applyAlignment="1">
      <alignment horizontal="right" vertical="center"/>
    </xf>
    <xf numFmtId="167" fontId="23" fillId="4" borderId="4" xfId="0" applyNumberFormat="1" applyFont="1" applyFill="1" applyBorder="1" applyAlignment="1">
      <alignment horizontal="right" vertical="center"/>
    </xf>
    <xf numFmtId="167" fontId="23" fillId="10" borderId="4" xfId="0" applyNumberFormat="1" applyFont="1" applyFill="1" applyBorder="1" applyAlignment="1">
      <alignment horizontal="right" vertical="center"/>
    </xf>
    <xf numFmtId="167" fontId="23" fillId="4" borderId="6" xfId="0" applyNumberFormat="1" applyFont="1" applyFill="1" applyBorder="1" applyAlignment="1">
      <alignment horizontal="right" vertical="center"/>
    </xf>
    <xf numFmtId="167" fontId="23" fillId="16" borderId="8" xfId="0" applyNumberFormat="1" applyFont="1" applyFill="1" applyBorder="1" applyAlignment="1">
      <alignment horizontal="right" vertical="center"/>
    </xf>
    <xf numFmtId="0" fontId="23" fillId="15" borderId="36" xfId="0" applyFont="1" applyFill="1" applyBorder="1" applyAlignment="1">
      <alignment horizontal="left" vertical="center"/>
    </xf>
    <xf numFmtId="164" fontId="23" fillId="15" borderId="17" xfId="0" applyNumberFormat="1" applyFont="1" applyFill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0" fontId="3" fillId="0" borderId="11" xfId="0" applyNumberFormat="1" applyFont="1" applyBorder="1" applyAlignment="1" applyProtection="1">
      <alignment horizontal="center" vertical="center" wrapText="1"/>
      <protection hidden="1"/>
    </xf>
    <xf numFmtId="10" fontId="3" fillId="0" borderId="9" xfId="0" applyNumberFormat="1" applyFont="1" applyBorder="1" applyAlignment="1" applyProtection="1">
      <alignment horizontal="center" vertical="center" wrapText="1"/>
      <protection hidden="1"/>
    </xf>
    <xf numFmtId="10" fontId="3" fillId="0" borderId="10" xfId="0" applyNumberFormat="1" applyFont="1" applyBorder="1" applyAlignment="1" applyProtection="1">
      <alignment horizontal="center" vertical="center" wrapText="1"/>
      <protection hidden="1"/>
    </xf>
    <xf numFmtId="10" fontId="3" fillId="0" borderId="12" xfId="0" applyNumberFormat="1" applyFont="1" applyBorder="1" applyAlignment="1" applyProtection="1">
      <alignment horizontal="center" vertical="center" wrapText="1"/>
      <protection hidden="1"/>
    </xf>
    <xf numFmtId="166" fontId="5" fillId="0" borderId="27" xfId="0" applyNumberFormat="1" applyFont="1" applyBorder="1" applyAlignment="1" applyProtection="1">
      <alignment horizontal="center" vertical="center" wrapText="1"/>
      <protection hidden="1"/>
    </xf>
    <xf numFmtId="166" fontId="5" fillId="0" borderId="16" xfId="0" applyNumberFormat="1" applyFont="1" applyBorder="1" applyAlignment="1" applyProtection="1">
      <alignment horizontal="center" vertical="center" wrapText="1"/>
      <protection hidden="1"/>
    </xf>
    <xf numFmtId="166" fontId="5" fillId="0" borderId="28" xfId="0" applyNumberFormat="1" applyFont="1" applyBorder="1" applyAlignment="1" applyProtection="1">
      <alignment horizontal="center" vertical="center" wrapText="1"/>
      <protection hidden="1"/>
    </xf>
    <xf numFmtId="14" fontId="33" fillId="0" borderId="0" xfId="0" applyNumberFormat="1" applyFont="1" applyBorder="1" applyAlignment="1">
      <alignment horizontal="center" vertical="center"/>
    </xf>
    <xf numFmtId="0" fontId="14" fillId="0" borderId="0" xfId="4"/>
    <xf numFmtId="0" fontId="38" fillId="0" borderId="0" xfId="4" applyNumberFormat="1" applyFont="1" applyBorder="1" applyAlignment="1">
      <alignment horizontal="left" wrapText="1"/>
    </xf>
    <xf numFmtId="0" fontId="22" fillId="0" borderId="23" xfId="4" applyNumberFormat="1" applyFont="1" applyBorder="1" applyAlignment="1" applyProtection="1">
      <alignment horizontal="center" vertical="center" wrapText="1"/>
      <protection hidden="1"/>
    </xf>
    <xf numFmtId="0" fontId="22" fillId="0" borderId="14" xfId="4" applyNumberFormat="1" applyFont="1" applyBorder="1" applyAlignment="1" applyProtection="1">
      <alignment horizontal="center" vertical="center" wrapText="1"/>
      <protection hidden="1"/>
    </xf>
    <xf numFmtId="0" fontId="39" fillId="0" borderId="0" xfId="0" applyFont="1" applyProtection="1">
      <protection hidden="1"/>
    </xf>
    <xf numFmtId="164" fontId="23" fillId="5" borderId="18" xfId="4" applyNumberFormat="1" applyFont="1" applyFill="1" applyBorder="1" applyAlignment="1">
      <alignment horizontal="left" vertical="center"/>
    </xf>
    <xf numFmtId="164" fontId="23" fillId="5" borderId="4" xfId="4" applyNumberFormat="1" applyFont="1" applyFill="1" applyBorder="1" applyAlignment="1">
      <alignment horizontal="left" vertical="center"/>
    </xf>
    <xf numFmtId="164" fontId="23" fillId="15" borderId="4" xfId="4" applyNumberFormat="1" applyFont="1" applyFill="1" applyBorder="1" applyAlignment="1">
      <alignment horizontal="left" vertical="center"/>
    </xf>
    <xf numFmtId="49" fontId="23" fillId="15" borderId="15" xfId="4" applyNumberFormat="1" applyFont="1" applyFill="1" applyBorder="1" applyAlignment="1" applyProtection="1">
      <alignment horizontal="left" vertical="center" wrapText="1"/>
      <protection locked="0"/>
    </xf>
    <xf numFmtId="164" fontId="23" fillId="5" borderId="19" xfId="4" applyNumberFormat="1" applyFont="1" applyFill="1" applyBorder="1" applyAlignment="1">
      <alignment horizontal="left" vertical="center"/>
    </xf>
    <xf numFmtId="164" fontId="23" fillId="5" borderId="16" xfId="4" applyNumberFormat="1" applyFont="1" applyFill="1" applyBorder="1" applyAlignment="1">
      <alignment horizontal="left" vertical="center"/>
    </xf>
    <xf numFmtId="49" fontId="23" fillId="5" borderId="17" xfId="4" applyNumberFormat="1" applyFont="1" applyFill="1" applyBorder="1" applyAlignment="1" applyProtection="1">
      <alignment horizontal="left" vertical="center" wrapText="1"/>
      <protection locked="0"/>
    </xf>
    <xf numFmtId="0" fontId="20" fillId="15" borderId="18" xfId="0" applyFont="1" applyFill="1" applyBorder="1" applyAlignment="1">
      <alignment horizontal="left" wrapText="1" indent="2"/>
    </xf>
    <xf numFmtId="0" fontId="20" fillId="15" borderId="18" xfId="0" applyFont="1" applyFill="1" applyBorder="1" applyAlignment="1">
      <alignment horizontal="left" indent="2"/>
    </xf>
    <xf numFmtId="164" fontId="23" fillId="5" borderId="52" xfId="4" applyNumberFormat="1" applyFont="1" applyFill="1" applyBorder="1" applyAlignment="1">
      <alignment horizontal="left" vertical="center"/>
    </xf>
    <xf numFmtId="164" fontId="23" fillId="5" borderId="51" xfId="4" applyNumberFormat="1" applyFont="1" applyFill="1" applyBorder="1" applyAlignment="1">
      <alignment horizontal="left" vertical="center"/>
    </xf>
    <xf numFmtId="164" fontId="23" fillId="5" borderId="41" xfId="4" applyNumberFormat="1" applyFont="1" applyFill="1" applyBorder="1" applyAlignment="1" applyProtection="1">
      <alignment horizontal="left" vertical="center"/>
      <protection locked="0"/>
    </xf>
    <xf numFmtId="164" fontId="23" fillId="15" borderId="15" xfId="4" applyNumberFormat="1" applyFont="1" applyFill="1" applyBorder="1" applyAlignment="1" applyProtection="1">
      <alignment horizontal="left" vertical="center"/>
      <protection locked="0"/>
    </xf>
    <xf numFmtId="164" fontId="23" fillId="5" borderId="15" xfId="4" applyNumberFormat="1" applyFont="1" applyFill="1" applyBorder="1" applyAlignment="1" applyProtection="1">
      <alignment horizontal="left" vertical="center"/>
      <protection locked="0"/>
    </xf>
    <xf numFmtId="164" fontId="23" fillId="18" borderId="8" xfId="0" applyNumberFormat="1" applyFont="1" applyFill="1" applyBorder="1" applyAlignment="1" applyProtection="1">
      <alignment horizontal="right" vertical="center"/>
      <protection locked="0"/>
    </xf>
    <xf numFmtId="164" fontId="23" fillId="18" borderId="21" xfId="0" applyNumberFormat="1" applyFont="1" applyFill="1" applyBorder="1" applyAlignment="1" applyProtection="1">
      <alignment horizontal="right" vertical="center"/>
      <protection locked="0"/>
    </xf>
    <xf numFmtId="0" fontId="29" fillId="0" borderId="0" xfId="0" applyFont="1"/>
    <xf numFmtId="167" fontId="3" fillId="8" borderId="24" xfId="0" applyNumberFormat="1" applyFont="1" applyFill="1" applyBorder="1"/>
    <xf numFmtId="167" fontId="20" fillId="11" borderId="61" xfId="0" applyNumberFormat="1" applyFont="1" applyFill="1" applyBorder="1" applyAlignment="1" applyProtection="1">
      <alignment horizontal="right"/>
      <protection locked="0" hidden="1"/>
    </xf>
    <xf numFmtId="167" fontId="20" fillId="11" borderId="58" xfId="0" applyNumberFormat="1" applyFont="1" applyFill="1" applyBorder="1" applyAlignment="1" applyProtection="1">
      <alignment horizontal="right"/>
      <protection locked="0" hidden="1"/>
    </xf>
    <xf numFmtId="167" fontId="20" fillId="11" borderId="48" xfId="0" applyNumberFormat="1" applyFont="1" applyFill="1" applyBorder="1" applyAlignment="1" applyProtection="1">
      <alignment horizontal="right"/>
      <protection locked="0" hidden="1"/>
    </xf>
    <xf numFmtId="167" fontId="3" fillId="8" borderId="8" xfId="0" applyNumberFormat="1" applyFont="1" applyFill="1" applyBorder="1"/>
    <xf numFmtId="167" fontId="20" fillId="11" borderId="7" xfId="0" applyNumberFormat="1" applyFont="1" applyFill="1" applyBorder="1" applyAlignment="1" applyProtection="1">
      <alignment horizontal="right"/>
      <protection locked="0" hidden="1"/>
    </xf>
    <xf numFmtId="167" fontId="20" fillId="11" borderId="4" xfId="0" applyNumberFormat="1" applyFont="1" applyFill="1" applyBorder="1" applyAlignment="1" applyProtection="1">
      <alignment horizontal="right"/>
      <protection locked="0" hidden="1"/>
    </xf>
    <xf numFmtId="167" fontId="20" fillId="11" borderId="15" xfId="0" applyNumberFormat="1" applyFont="1" applyFill="1" applyBorder="1" applyAlignment="1" applyProtection="1">
      <alignment horizontal="right"/>
      <protection locked="0" hidden="1"/>
    </xf>
    <xf numFmtId="0" fontId="26" fillId="0" borderId="0" xfId="0" applyFont="1" applyFill="1"/>
    <xf numFmtId="165" fontId="6" fillId="0" borderId="0" xfId="3" applyFont="1" applyBorder="1"/>
    <xf numFmtId="10" fontId="22" fillId="0" borderId="12" xfId="0" applyNumberFormat="1" applyFont="1" applyBorder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2" fillId="0" borderId="12" xfId="0" applyNumberFormat="1" applyFont="1" applyBorder="1" applyAlignment="1" applyProtection="1">
      <alignment horizontal="center" vertical="center" wrapText="1"/>
      <protection hidden="1"/>
    </xf>
    <xf numFmtId="10" fontId="22" fillId="0" borderId="9" xfId="0" applyNumberFormat="1" applyFont="1" applyBorder="1" applyAlignment="1" applyProtection="1">
      <alignment horizontal="center" vertical="center" wrapText="1"/>
      <protection hidden="1"/>
    </xf>
    <xf numFmtId="10" fontId="22" fillId="0" borderId="10" xfId="0" applyNumberFormat="1" applyFont="1" applyBorder="1" applyAlignment="1" applyProtection="1">
      <alignment horizontal="center" vertical="center" wrapText="1"/>
      <protection hidden="1"/>
    </xf>
    <xf numFmtId="10" fontId="22" fillId="0" borderId="11" xfId="0" applyNumberFormat="1" applyFont="1" applyBorder="1" applyAlignment="1" applyProtection="1">
      <alignment horizontal="center" vertical="center" wrapText="1"/>
      <protection hidden="1"/>
    </xf>
    <xf numFmtId="10" fontId="23" fillId="0" borderId="57" xfId="0" applyNumberFormat="1" applyFont="1" applyBorder="1" applyAlignment="1">
      <alignment horizontal="left" vertical="center" wrapText="1"/>
    </xf>
    <xf numFmtId="0" fontId="23" fillId="0" borderId="33" xfId="0" applyFont="1" applyFill="1" applyBorder="1" applyAlignment="1">
      <alignment horizontal="center" vertical="center"/>
    </xf>
    <xf numFmtId="167" fontId="20" fillId="11" borderId="12" xfId="0" applyNumberFormat="1" applyFont="1" applyFill="1" applyBorder="1" applyAlignment="1" applyProtection="1">
      <alignment horizontal="right" vertical="center"/>
      <protection locked="0"/>
    </xf>
    <xf numFmtId="167" fontId="20" fillId="11" borderId="9" xfId="0" applyNumberFormat="1" applyFont="1" applyFill="1" applyBorder="1" applyAlignment="1" applyProtection="1">
      <alignment horizontal="right" vertical="center"/>
      <protection locked="0"/>
    </xf>
    <xf numFmtId="167" fontId="20" fillId="11" borderId="13" xfId="0" applyNumberFormat="1" applyFont="1" applyFill="1" applyBorder="1" applyAlignment="1" applyProtection="1">
      <alignment horizontal="right" vertical="center"/>
      <protection locked="0"/>
    </xf>
    <xf numFmtId="167" fontId="20" fillId="11" borderId="57" xfId="0" applyNumberFormat="1" applyFont="1" applyFill="1" applyBorder="1" applyAlignment="1" applyProtection="1">
      <alignment horizontal="right" vertical="center"/>
      <protection locked="0"/>
    </xf>
    <xf numFmtId="167" fontId="20" fillId="11" borderId="58" xfId="0" applyNumberFormat="1" applyFont="1" applyFill="1" applyBorder="1" applyAlignment="1" applyProtection="1">
      <alignment horizontal="right" vertical="center"/>
      <protection locked="0"/>
    </xf>
    <xf numFmtId="167" fontId="20" fillId="11" borderId="48" xfId="0" applyNumberFormat="1" applyFont="1" applyFill="1" applyBorder="1" applyAlignment="1" applyProtection="1">
      <alignment horizontal="right" vertical="center"/>
      <protection locked="0"/>
    </xf>
    <xf numFmtId="0" fontId="23" fillId="0" borderId="62" xfId="0" applyFont="1" applyFill="1" applyBorder="1" applyAlignment="1">
      <alignment horizontal="center" vertical="center"/>
    </xf>
    <xf numFmtId="167" fontId="23" fillId="0" borderId="57" xfId="0" applyNumberFormat="1" applyFont="1" applyFill="1" applyBorder="1" applyAlignment="1">
      <alignment horizontal="right" vertical="center"/>
    </xf>
    <xf numFmtId="167" fontId="23" fillId="0" borderId="58" xfId="0" applyNumberFormat="1" applyFont="1" applyFill="1" applyBorder="1" applyAlignment="1">
      <alignment horizontal="right" vertical="center"/>
    </xf>
    <xf numFmtId="167" fontId="23" fillId="0" borderId="48" xfId="0" applyNumberFormat="1" applyFont="1" applyFill="1" applyBorder="1" applyAlignment="1">
      <alignment horizontal="right" vertical="center"/>
    </xf>
    <xf numFmtId="164" fontId="36" fillId="4" borderId="7" xfId="0" applyNumberFormat="1" applyFont="1" applyFill="1" applyBorder="1" applyAlignment="1">
      <alignment horizontal="right" vertical="center"/>
    </xf>
    <xf numFmtId="167" fontId="5" fillId="11" borderId="18" xfId="0" applyNumberFormat="1" applyFont="1" applyFill="1" applyBorder="1" applyAlignment="1" applyProtection="1">
      <alignment horizontal="right"/>
      <protection locked="0"/>
    </xf>
    <xf numFmtId="167" fontId="5" fillId="11" borderId="19" xfId="0" applyNumberFormat="1" applyFont="1" applyFill="1" applyBorder="1" applyAlignment="1" applyProtection="1">
      <alignment horizontal="right"/>
      <protection locked="0"/>
    </xf>
    <xf numFmtId="167" fontId="5" fillId="11" borderId="16" xfId="0" applyNumberFormat="1" applyFont="1" applyFill="1" applyBorder="1" applyAlignment="1" applyProtection="1">
      <alignment horizontal="right"/>
      <protection locked="0"/>
    </xf>
    <xf numFmtId="167" fontId="5" fillId="11" borderId="39" xfId="0" applyNumberFormat="1" applyFont="1" applyFill="1" applyBorder="1" applyAlignment="1" applyProtection="1">
      <alignment horizontal="right"/>
      <protection locked="0"/>
    </xf>
    <xf numFmtId="164" fontId="0" fillId="0" borderId="0" xfId="0" applyNumberFormat="1"/>
    <xf numFmtId="0" fontId="25" fillId="0" borderId="44" xfId="0" applyFont="1" applyBorder="1" applyAlignment="1">
      <alignment horizontal="left"/>
    </xf>
    <xf numFmtId="0" fontId="25" fillId="0" borderId="10" xfId="0" applyFont="1" applyBorder="1" applyAlignment="1">
      <alignment horizontal="center"/>
    </xf>
    <xf numFmtId="167" fontId="25" fillId="11" borderId="44" xfId="0" applyNumberFormat="1" applyFont="1" applyFill="1" applyBorder="1" applyAlignment="1" applyProtection="1">
      <alignment horizontal="right"/>
      <protection locked="0"/>
    </xf>
    <xf numFmtId="167" fontId="25" fillId="11" borderId="13" xfId="0" applyNumberFormat="1" applyFont="1" applyFill="1" applyBorder="1" applyAlignment="1" applyProtection="1">
      <alignment horizontal="right"/>
      <protection locked="0"/>
    </xf>
    <xf numFmtId="167" fontId="25" fillId="11" borderId="10" xfId="0" applyNumberFormat="1" applyFont="1" applyFill="1" applyBorder="1" applyAlignment="1" applyProtection="1">
      <alignment horizontal="right"/>
      <protection locked="0"/>
    </xf>
    <xf numFmtId="167" fontId="25" fillId="12" borderId="44" xfId="0" applyNumberFormat="1" applyFont="1" applyFill="1" applyBorder="1" applyAlignment="1" applyProtection="1">
      <alignment horizontal="right"/>
      <protection locked="0"/>
    </xf>
    <xf numFmtId="167" fontId="25" fillId="12" borderId="13" xfId="0" applyNumberFormat="1" applyFont="1" applyFill="1" applyBorder="1" applyAlignment="1" applyProtection="1">
      <alignment horizontal="right"/>
      <protection locked="0"/>
    </xf>
    <xf numFmtId="167" fontId="25" fillId="12" borderId="10" xfId="0" applyNumberFormat="1" applyFont="1" applyFill="1" applyBorder="1" applyAlignment="1" applyProtection="1">
      <alignment horizontal="right"/>
      <protection locked="0"/>
    </xf>
    <xf numFmtId="0" fontId="3" fillId="8" borderId="10" xfId="0" applyFont="1" applyFill="1" applyBorder="1" applyAlignment="1">
      <alignment horizontal="center"/>
    </xf>
    <xf numFmtId="167" fontId="25" fillId="11" borderId="12" xfId="0" applyNumberFormat="1" applyFont="1" applyFill="1" applyBorder="1" applyAlignment="1" applyProtection="1">
      <alignment horizontal="right"/>
      <protection locked="0"/>
    </xf>
    <xf numFmtId="167" fontId="25" fillId="11" borderId="9" xfId="0" applyNumberFormat="1" applyFont="1" applyFill="1" applyBorder="1" applyAlignment="1" applyProtection="1">
      <alignment horizontal="right"/>
      <protection locked="0"/>
    </xf>
    <xf numFmtId="0" fontId="20" fillId="0" borderId="44" xfId="0" applyFont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164" fontId="20" fillId="0" borderId="29" xfId="0" applyNumberFormat="1" applyFont="1" applyBorder="1" applyAlignment="1">
      <alignment horizontal="right" vertical="center"/>
    </xf>
    <xf numFmtId="164" fontId="20" fillId="0" borderId="13" xfId="0" applyNumberFormat="1" applyFont="1" applyBorder="1" applyAlignment="1">
      <alignment horizontal="right" vertical="center"/>
    </xf>
    <xf numFmtId="164" fontId="20" fillId="0" borderId="10" xfId="0" applyNumberFormat="1" applyFont="1" applyBorder="1" applyAlignment="1">
      <alignment horizontal="right" vertical="center"/>
    </xf>
    <xf numFmtId="0" fontId="2" fillId="8" borderId="32" xfId="0" applyFont="1" applyFill="1" applyBorder="1" applyAlignment="1">
      <alignment horizontal="left" indent="2"/>
    </xf>
    <xf numFmtId="0" fontId="23" fillId="8" borderId="32" xfId="0" applyFont="1" applyFill="1" applyBorder="1" applyAlignment="1">
      <alignment horizontal="left" indent="4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 applyProtection="1">
      <alignment horizontal="center" vertical="center"/>
      <protection hidden="1"/>
    </xf>
    <xf numFmtId="164" fontId="3" fillId="0" borderId="52" xfId="0" applyNumberFormat="1" applyFont="1" applyBorder="1" applyAlignment="1" applyProtection="1">
      <alignment horizontal="center" vertical="center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9" borderId="43" xfId="0" applyFon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8" borderId="52" xfId="0" applyFont="1" applyFill="1" applyBorder="1" applyAlignment="1" applyProtection="1">
      <alignment horizontal="center" vertical="center"/>
      <protection hidden="1"/>
    </xf>
    <xf numFmtId="0" fontId="3" fillId="8" borderId="51" xfId="0" applyFont="1" applyFill="1" applyBorder="1" applyAlignment="1" applyProtection="1">
      <alignment horizontal="center" vertical="center"/>
      <protection hidden="1"/>
    </xf>
    <xf numFmtId="0" fontId="3" fillId="8" borderId="41" xfId="0" applyFont="1" applyFill="1" applyBorder="1" applyAlignment="1" applyProtection="1">
      <alignment horizontal="center" vertical="center"/>
      <protection hidden="1"/>
    </xf>
    <xf numFmtId="0" fontId="3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left"/>
    </xf>
    <xf numFmtId="164" fontId="3" fillId="0" borderId="53" xfId="0" applyNumberFormat="1" applyFont="1" applyBorder="1" applyAlignment="1" applyProtection="1">
      <alignment horizontal="center" vertical="center"/>
      <protection hidden="1"/>
    </xf>
    <xf numFmtId="164" fontId="3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50" xfId="0" applyNumberFormat="1" applyFont="1" applyBorder="1" applyAlignment="1" applyProtection="1">
      <alignment horizontal="center" vertical="center" wrapText="1"/>
      <protection hidden="1"/>
    </xf>
    <xf numFmtId="0" fontId="12" fillId="0" borderId="51" xfId="0" applyNumberFormat="1" applyFont="1" applyBorder="1" applyAlignment="1" applyProtection="1">
      <alignment horizontal="center" vertical="center" wrapText="1"/>
      <protection hidden="1"/>
    </xf>
    <xf numFmtId="0" fontId="12" fillId="0" borderId="42" xfId="0" applyNumberFormat="1" applyFont="1" applyBorder="1" applyAlignment="1" applyProtection="1">
      <alignment horizontal="center" vertical="center" wrapText="1"/>
      <protection hidden="1"/>
    </xf>
    <xf numFmtId="0" fontId="12" fillId="0" borderId="53" xfId="0" applyNumberFormat="1" applyFont="1" applyBorder="1" applyAlignment="1" applyProtection="1">
      <alignment horizontal="center" vertical="center" wrapText="1"/>
      <protection hidden="1"/>
    </xf>
    <xf numFmtId="0" fontId="12" fillId="0" borderId="24" xfId="0" applyNumberFormat="1" applyFont="1" applyBorder="1" applyAlignment="1" applyProtection="1">
      <alignment horizontal="center" vertical="center" wrapText="1"/>
      <protection hidden="1"/>
    </xf>
    <xf numFmtId="0" fontId="22" fillId="0" borderId="43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7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1"/>
    <cellStyle name="Обычный_4. Комментарии" xfId="4"/>
    <cellStyle name="Пояснение" xfId="2" builtinId="53" customBuiltin="1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5C"/>
      <rgbColor rgb="00808000"/>
      <rgbColor rgb="00800080"/>
      <rgbColor rgb="00008080"/>
      <rgbColor rgb="00BFBFC0"/>
      <rgbColor rgb="00808080"/>
      <rgbColor rgb="008EB4E3"/>
      <rgbColor rgb="00993366"/>
      <rgbColor rgb="00EBF1DE"/>
      <rgbColor rgb="00DCE6F2"/>
      <rgbColor rgb="00660066"/>
      <rgbColor rgb="00FF8080"/>
      <rgbColor rgb="000066CC"/>
      <rgbColor rgb="00B9CDE5"/>
      <rgbColor rgb="00000080"/>
      <rgbColor rgb="00FF00FF"/>
      <rgbColor rgb="00D9D416"/>
      <rgbColor rgb="0000FFFF"/>
      <rgbColor rgb="00800080"/>
      <rgbColor rgb="00800000"/>
      <rgbColor rgb="00008080"/>
      <rgbColor rgb="000000FF"/>
      <rgbColor rgb="0000B0F0"/>
      <rgbColor rgb="00DFDFE0"/>
      <rgbColor rgb="00CBE4E5"/>
      <rgbColor rgb="00F2DCDB"/>
      <rgbColor rgb="0093CDDD"/>
      <rgbColor rgb="00B7DEE8"/>
      <rgbColor rgb="00ACC8BD"/>
      <rgbColor rgb="00FCD5B5"/>
      <rgbColor rgb="003366FF"/>
      <rgbColor rgb="0033CCCC"/>
      <rgbColor rgb="0092D050"/>
      <rgbColor rgb="00FFC000"/>
      <rgbColor rgb="00FF9900"/>
      <rgbColor rgb="00E46C0A"/>
      <rgbColor rgb="00666699"/>
      <rgbColor rgb="00A0A0A0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889000</xdr:colOff>
      <xdr:row>8</xdr:row>
      <xdr:rowOff>0</xdr:rowOff>
    </xdr:to>
    <xdr:sp macro="" textlink="">
      <xdr:nvSpPr>
        <xdr:cNvPr id="7266" name="shapetype_202" hidden="1">
          <a:extLst>
            <a:ext uri="{FF2B5EF4-FFF2-40B4-BE49-F238E27FC236}">
              <a16:creationId xmlns:a16="http://schemas.microsoft.com/office/drawing/2014/main" xmlns="" id="{BE01789B-5E59-4BA5-9EC4-14FDCC09C3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8978900" cy="220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451"/>
  <sheetViews>
    <sheetView showGridLines="0" tabSelected="1" zoomScaleNormal="100" workbookViewId="0">
      <pane xSplit="2" topLeftCell="C1" activePane="topRight" state="frozen"/>
      <selection pane="topRight" activeCell="G17" sqref="G17"/>
    </sheetView>
  </sheetViews>
  <sheetFormatPr defaultColWidth="8.5703125" defaultRowHeight="15" x14ac:dyDescent="0.25"/>
  <cols>
    <col min="1" max="1" width="46.7109375" customWidth="1"/>
    <col min="2" max="2" width="16.28515625" style="18" customWidth="1"/>
    <col min="3" max="37" width="13.28515625" customWidth="1"/>
    <col min="38" max="39" width="10.7109375" customWidth="1"/>
    <col min="40" max="40" width="11.28515625" customWidth="1"/>
    <col min="41" max="41" width="10.7109375" customWidth="1"/>
    <col min="42" max="42" width="10.42578125" customWidth="1"/>
    <col min="43" max="43" width="8.7109375" customWidth="1"/>
    <col min="44" max="44" width="10.28515625" customWidth="1"/>
    <col min="45" max="45" width="8.5703125" customWidth="1"/>
    <col min="46" max="46" width="8.7109375" customWidth="1"/>
    <col min="47" max="49" width="8.5703125" customWidth="1"/>
    <col min="50" max="52" width="8.7109375" customWidth="1"/>
  </cols>
  <sheetData>
    <row r="1" spans="1:38" x14ac:dyDescent="0.25">
      <c r="A1" s="34"/>
      <c r="B1" s="21" t="s">
        <v>10</v>
      </c>
      <c r="C1" s="19"/>
      <c r="D1" s="19"/>
      <c r="E1" s="19"/>
      <c r="F1" s="19"/>
      <c r="G1" s="5"/>
      <c r="H1" s="5"/>
      <c r="I1" s="4"/>
      <c r="J1" s="4"/>
      <c r="K1" s="30"/>
    </row>
    <row r="2" spans="1:38" ht="30" x14ac:dyDescent="0.25">
      <c r="A2" s="22" t="s">
        <v>11</v>
      </c>
      <c r="B2" s="99"/>
      <c r="C2" s="20"/>
      <c r="D2" s="4"/>
      <c r="E2" s="4"/>
      <c r="F2" s="4"/>
    </row>
    <row r="3" spans="1:38" ht="30" x14ac:dyDescent="0.25">
      <c r="A3" s="22" t="s">
        <v>12</v>
      </c>
      <c r="B3" s="100"/>
      <c r="C3" s="20"/>
      <c r="D3" s="20"/>
      <c r="E3" s="20"/>
      <c r="F3" s="20"/>
      <c r="G3" s="4"/>
      <c r="H3" s="4"/>
      <c r="I3" s="4"/>
    </row>
    <row r="4" spans="1:38" ht="30" x14ac:dyDescent="0.25">
      <c r="A4" s="78" t="s">
        <v>14</v>
      </c>
      <c r="B4" s="101"/>
      <c r="C4" s="20"/>
      <c r="D4" s="20"/>
      <c r="E4" s="20"/>
      <c r="F4" s="20"/>
      <c r="G4" s="4"/>
      <c r="H4" s="4"/>
      <c r="I4" s="4"/>
    </row>
    <row r="5" spans="1:38" x14ac:dyDescent="0.25">
      <c r="A5" s="34"/>
      <c r="B5" s="102"/>
      <c r="C5" s="20"/>
      <c r="D5" s="20"/>
      <c r="E5" s="20"/>
      <c r="F5" s="20"/>
      <c r="G5" s="4"/>
      <c r="H5" s="4"/>
      <c r="I5" s="4"/>
    </row>
    <row r="6" spans="1:38" x14ac:dyDescent="0.25">
      <c r="A6" s="107" t="s">
        <v>123</v>
      </c>
      <c r="B6" s="7"/>
      <c r="C6" s="4"/>
      <c r="D6" s="1"/>
      <c r="E6" s="4"/>
      <c r="F6" s="1"/>
      <c r="G6" s="4"/>
      <c r="H6" s="1"/>
      <c r="I6" s="4"/>
    </row>
    <row r="7" spans="1:38" ht="15.75" thickBot="1" x14ac:dyDescent="0.3">
      <c r="A7" s="108" t="s">
        <v>85</v>
      </c>
      <c r="B7" s="17"/>
      <c r="C7" s="4"/>
      <c r="D7" s="4"/>
      <c r="E7" s="4"/>
      <c r="F7" s="4"/>
      <c r="G7" s="4"/>
      <c r="H7" s="4"/>
      <c r="I7" s="4"/>
    </row>
    <row r="8" spans="1:38" ht="15.75" thickBot="1" x14ac:dyDescent="0.3">
      <c r="A8" s="93" t="s">
        <v>13</v>
      </c>
      <c r="B8" s="41" t="s">
        <v>36</v>
      </c>
      <c r="C8" s="349" t="s">
        <v>136</v>
      </c>
      <c r="D8" s="347" t="s">
        <v>137</v>
      </c>
      <c r="E8" s="348" t="s">
        <v>138</v>
      </c>
      <c r="F8" s="346" t="s">
        <v>139</v>
      </c>
      <c r="G8" s="347" t="s">
        <v>140</v>
      </c>
      <c r="H8" s="348" t="s">
        <v>141</v>
      </c>
      <c r="I8" s="4"/>
    </row>
    <row r="9" spans="1:38" ht="15.75" thickBot="1" x14ac:dyDescent="0.3">
      <c r="A9" s="410" t="s">
        <v>125</v>
      </c>
      <c r="B9" s="411" t="s">
        <v>80</v>
      </c>
      <c r="C9" s="412">
        <v>1166.7470000000001</v>
      </c>
      <c r="D9" s="413">
        <v>1369.2829999999999</v>
      </c>
      <c r="E9" s="414">
        <v>1369.2829999999999</v>
      </c>
      <c r="F9" s="415">
        <v>1494.8779999999999</v>
      </c>
      <c r="G9" s="416">
        <v>1481.45</v>
      </c>
      <c r="H9" s="417">
        <v>1481.45</v>
      </c>
      <c r="I9" s="58"/>
    </row>
    <row r="10" spans="1:38" x14ac:dyDescent="0.25">
      <c r="A10" s="68"/>
      <c r="B10" s="62"/>
      <c r="C10" s="246"/>
      <c r="D10" s="246"/>
      <c r="E10" s="246"/>
      <c r="F10" s="247"/>
      <c r="G10" s="247"/>
      <c r="H10" s="247"/>
      <c r="I10" s="58"/>
    </row>
    <row r="11" spans="1:38" x14ac:dyDescent="0.25">
      <c r="A11" s="107" t="s">
        <v>99</v>
      </c>
      <c r="B11" s="7"/>
      <c r="C11" s="46"/>
      <c r="D11" s="75"/>
      <c r="E11" s="46"/>
      <c r="F11" s="75"/>
      <c r="G11" s="46"/>
      <c r="H11" s="75"/>
      <c r="I11" s="4"/>
    </row>
    <row r="12" spans="1:38" ht="15.75" thickBot="1" x14ac:dyDescent="0.3">
      <c r="A12" s="108" t="s">
        <v>126</v>
      </c>
      <c r="B12" s="17"/>
      <c r="C12" s="4"/>
      <c r="D12" s="4"/>
      <c r="E12" s="4"/>
      <c r="F12" s="4"/>
      <c r="G12" s="4"/>
      <c r="H12" s="4"/>
      <c r="I12" s="4"/>
    </row>
    <row r="13" spans="1:38" ht="15.75" customHeight="1" thickBot="1" x14ac:dyDescent="0.3">
      <c r="A13" s="93" t="s">
        <v>13</v>
      </c>
      <c r="B13" s="117" t="s">
        <v>36</v>
      </c>
      <c r="C13" s="349" t="s">
        <v>136</v>
      </c>
      <c r="D13" s="347" t="s">
        <v>137</v>
      </c>
      <c r="E13" s="348" t="s">
        <v>138</v>
      </c>
      <c r="F13" s="247"/>
      <c r="G13" s="247"/>
      <c r="H13" s="247"/>
      <c r="I13" s="250"/>
      <c r="J13" s="249"/>
      <c r="K13" s="249"/>
      <c r="L13" s="249"/>
    </row>
    <row r="14" spans="1:38" ht="15" customHeight="1" thickBot="1" x14ac:dyDescent="0.3">
      <c r="A14" s="410" t="s">
        <v>127</v>
      </c>
      <c r="B14" s="418" t="s">
        <v>98</v>
      </c>
      <c r="C14" s="419">
        <v>262.97699999999998</v>
      </c>
      <c r="D14" s="420">
        <v>382.91500000000002</v>
      </c>
      <c r="E14" s="414">
        <v>409.90800000000002</v>
      </c>
      <c r="F14" s="247"/>
      <c r="G14" s="247"/>
      <c r="H14" s="247"/>
      <c r="I14" s="248"/>
      <c r="J14" s="249"/>
      <c r="K14" s="249"/>
      <c r="L14" s="249"/>
    </row>
    <row r="15" spans="1:38" x14ac:dyDescent="0.25">
      <c r="A15" s="68"/>
      <c r="B15" s="62"/>
      <c r="C15" s="246"/>
      <c r="D15" s="246"/>
      <c r="E15" s="246"/>
      <c r="F15" s="247"/>
      <c r="G15" s="247"/>
      <c r="H15" s="247"/>
      <c r="I15" s="248"/>
      <c r="J15" s="249"/>
      <c r="K15" s="249"/>
      <c r="L15" s="249"/>
    </row>
    <row r="16" spans="1:38" x14ac:dyDescent="0.25">
      <c r="A16" s="107" t="s">
        <v>124</v>
      </c>
      <c r="B16" s="62"/>
      <c r="C16" s="63"/>
      <c r="D16" s="63"/>
      <c r="E16" s="63"/>
      <c r="F16" s="251"/>
      <c r="G16" s="251"/>
      <c r="H16" s="251"/>
      <c r="I16" s="251"/>
      <c r="J16" s="251"/>
      <c r="K16" s="251"/>
      <c r="L16" s="251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58"/>
    </row>
    <row r="17" spans="1:52" ht="15.75" thickBot="1" x14ac:dyDescent="0.3">
      <c r="A17" s="108" t="s">
        <v>134</v>
      </c>
      <c r="B17" s="64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</row>
    <row r="18" spans="1:52" ht="15.75" customHeight="1" thickBot="1" x14ac:dyDescent="0.3">
      <c r="A18" s="82" t="s">
        <v>13</v>
      </c>
      <c r="B18" s="96" t="s">
        <v>36</v>
      </c>
      <c r="C18" s="346" t="s">
        <v>139</v>
      </c>
      <c r="D18" s="347" t="s">
        <v>140</v>
      </c>
      <c r="E18" s="348" t="s">
        <v>141</v>
      </c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</row>
    <row r="19" spans="1:52" ht="15" customHeight="1" thickBot="1" x14ac:dyDescent="0.3">
      <c r="A19" s="421" t="s">
        <v>128</v>
      </c>
      <c r="B19" s="422" t="s">
        <v>100</v>
      </c>
      <c r="C19" s="423">
        <f>IFERROR(((C14+D14+E14)/(C9+D9+E9))*1000,0)</f>
        <v>270.34964931107965</v>
      </c>
      <c r="D19" s="424">
        <f>C19</f>
        <v>270.34964931107965</v>
      </c>
      <c r="E19" s="425">
        <f>D19</f>
        <v>270.34964931107965</v>
      </c>
      <c r="F19" s="58"/>
      <c r="G19" s="58"/>
      <c r="H19" s="5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4"/>
    </row>
    <row r="20" spans="1:52" x14ac:dyDescent="0.25">
      <c r="A20" s="72"/>
      <c r="B20" s="73"/>
      <c r="C20" s="74"/>
      <c r="D20" s="74"/>
      <c r="E20" s="7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4"/>
    </row>
    <row r="21" spans="1:52" s="9" customFormat="1" x14ac:dyDescent="0.25">
      <c r="A21" s="107" t="s">
        <v>114</v>
      </c>
      <c r="B21" s="23"/>
      <c r="C21" s="24"/>
      <c r="D21" s="25"/>
      <c r="E21" s="25"/>
      <c r="F21" s="25"/>
      <c r="G21" s="25"/>
      <c r="H21" s="24"/>
      <c r="I21" s="25"/>
      <c r="J21" s="25"/>
      <c r="K21" s="25"/>
      <c r="L21" s="25"/>
      <c r="M21" s="24"/>
      <c r="N21" s="25"/>
      <c r="O21" s="25"/>
      <c r="P21" s="25"/>
      <c r="Q21" s="25"/>
      <c r="R21" s="26"/>
      <c r="S21" s="26"/>
      <c r="T21" s="26"/>
      <c r="U21" s="26"/>
      <c r="V21" s="26"/>
      <c r="W21" s="26"/>
      <c r="X21" s="26"/>
      <c r="Y21" s="26"/>
      <c r="Z21" s="26"/>
      <c r="AA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Z21"/>
    </row>
    <row r="22" spans="1:52" ht="15.75" thickBot="1" x14ac:dyDescent="0.3">
      <c r="A22" s="108" t="s">
        <v>50</v>
      </c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52" s="18" customFormat="1" ht="14.65" customHeight="1" x14ac:dyDescent="0.25">
      <c r="A23" s="443" t="s">
        <v>15</v>
      </c>
      <c r="B23" s="445" t="s">
        <v>36</v>
      </c>
      <c r="C23" s="448" t="s">
        <v>136</v>
      </c>
      <c r="D23" s="430" t="s">
        <v>136</v>
      </c>
      <c r="E23" s="431"/>
      <c r="F23" s="431"/>
      <c r="G23" s="432"/>
      <c r="H23" s="428" t="s">
        <v>137</v>
      </c>
      <c r="I23" s="430" t="s">
        <v>137</v>
      </c>
      <c r="J23" s="431"/>
      <c r="K23" s="431"/>
      <c r="L23" s="432"/>
      <c r="M23" s="428" t="s">
        <v>138</v>
      </c>
      <c r="N23" s="430" t="s">
        <v>138</v>
      </c>
      <c r="O23" s="431"/>
      <c r="P23" s="431"/>
      <c r="Q23" s="432"/>
    </row>
    <row r="24" spans="1:52" s="18" customFormat="1" ht="15.75" thickBot="1" x14ac:dyDescent="0.3">
      <c r="A24" s="444"/>
      <c r="B24" s="446"/>
      <c r="C24" s="449"/>
      <c r="D24" s="345" t="s">
        <v>0</v>
      </c>
      <c r="E24" s="342" t="s">
        <v>1</v>
      </c>
      <c r="F24" s="342" t="s">
        <v>2</v>
      </c>
      <c r="G24" s="344" t="s">
        <v>3</v>
      </c>
      <c r="H24" s="429"/>
      <c r="I24" s="345" t="s">
        <v>0</v>
      </c>
      <c r="J24" s="342" t="s">
        <v>1</v>
      </c>
      <c r="K24" s="342" t="s">
        <v>2</v>
      </c>
      <c r="L24" s="344" t="s">
        <v>3</v>
      </c>
      <c r="M24" s="429"/>
      <c r="N24" s="345" t="s">
        <v>0</v>
      </c>
      <c r="O24" s="342" t="s">
        <v>1</v>
      </c>
      <c r="P24" s="342" t="s">
        <v>2</v>
      </c>
      <c r="Q24" s="344" t="s">
        <v>3</v>
      </c>
    </row>
    <row r="25" spans="1:52" x14ac:dyDescent="0.25">
      <c r="A25" s="229" t="s">
        <v>4</v>
      </c>
      <c r="B25" s="98" t="s">
        <v>98</v>
      </c>
      <c r="C25" s="39">
        <f>D25</f>
        <v>8.5670000000000002</v>
      </c>
      <c r="D25" s="405">
        <v>8.5670000000000002</v>
      </c>
      <c r="E25" s="190">
        <f>D35</f>
        <v>9.1059999999999999</v>
      </c>
      <c r="F25" s="190">
        <f>E35</f>
        <v>0.76500000000000001</v>
      </c>
      <c r="G25" s="191">
        <f>F35</f>
        <v>3.069</v>
      </c>
      <c r="H25" s="39">
        <f>I25</f>
        <v>9.1820000000000004</v>
      </c>
      <c r="I25" s="195">
        <f>G35</f>
        <v>9.1820000000000004</v>
      </c>
      <c r="J25" s="196">
        <f>I35</f>
        <v>8.8520000000000003</v>
      </c>
      <c r="K25" s="196">
        <f>J35</f>
        <v>8.0519999999999996</v>
      </c>
      <c r="L25" s="197">
        <f>K35</f>
        <v>0.90200000000000002</v>
      </c>
      <c r="M25" s="39">
        <f>N25</f>
        <v>11.906000000000001</v>
      </c>
      <c r="N25" s="195">
        <f>L35</f>
        <v>11.906000000000001</v>
      </c>
      <c r="O25" s="198">
        <f>N35</f>
        <v>5.58</v>
      </c>
      <c r="P25" s="198">
        <f>O35</f>
        <v>1.1890000000000001</v>
      </c>
      <c r="Q25" s="199">
        <f>P35</f>
        <v>5.758</v>
      </c>
      <c r="R25" s="4"/>
      <c r="S25" s="4"/>
      <c r="T25" s="4"/>
      <c r="U25" s="4"/>
      <c r="V25" s="4"/>
      <c r="W25" s="4"/>
    </row>
    <row r="26" spans="1:52" x14ac:dyDescent="0.25">
      <c r="A26" s="229" t="s">
        <v>131</v>
      </c>
      <c r="B26" s="94" t="s">
        <v>98</v>
      </c>
      <c r="C26" s="36">
        <f>SUM(D26:G26)</f>
        <v>263.17499999999995</v>
      </c>
      <c r="D26" s="405">
        <v>59.939</v>
      </c>
      <c r="E26" s="71">
        <v>56.658999999999999</v>
      </c>
      <c r="F26" s="71">
        <v>68.054000000000002</v>
      </c>
      <c r="G26" s="79">
        <v>78.522999999999996</v>
      </c>
      <c r="H26" s="36">
        <f>SUM(I26:L26)</f>
        <v>383.12400000000002</v>
      </c>
      <c r="I26" s="405">
        <v>86.47</v>
      </c>
      <c r="J26" s="71">
        <v>90.73</v>
      </c>
      <c r="K26" s="71">
        <v>83.43</v>
      </c>
      <c r="L26" s="79">
        <v>122.494</v>
      </c>
      <c r="M26" s="36">
        <f>SUM(N26:Q26)</f>
        <v>410.10399999999998</v>
      </c>
      <c r="N26" s="405">
        <v>96.837000000000003</v>
      </c>
      <c r="O26" s="71">
        <v>96.016000000000005</v>
      </c>
      <c r="P26" s="71">
        <v>98.067999999999998</v>
      </c>
      <c r="Q26" s="79">
        <v>119.18300000000001</v>
      </c>
    </row>
    <row r="27" spans="1:52" x14ac:dyDescent="0.25">
      <c r="A27" s="426" t="s">
        <v>133</v>
      </c>
      <c r="B27" s="94" t="s">
        <v>98</v>
      </c>
      <c r="C27" s="36">
        <f>SUM(D27:G27)</f>
        <v>262.97699999999998</v>
      </c>
      <c r="D27" s="405">
        <v>59.9</v>
      </c>
      <c r="E27" s="71">
        <v>56.6</v>
      </c>
      <c r="F27" s="71">
        <v>68</v>
      </c>
      <c r="G27" s="79">
        <v>78.477000000000004</v>
      </c>
      <c r="H27" s="36">
        <f>SUM(I27:L27)</f>
        <v>382.91500000000002</v>
      </c>
      <c r="I27" s="59">
        <v>86.429000000000002</v>
      </c>
      <c r="J27" s="71">
        <v>90.668000000000006</v>
      </c>
      <c r="K27" s="71">
        <v>83.373000000000005</v>
      </c>
      <c r="L27" s="79">
        <v>122.44499999999999</v>
      </c>
      <c r="M27" s="36">
        <f>SUM(N27:Q27)</f>
        <v>409.90799999999996</v>
      </c>
      <c r="N27" s="59">
        <v>96.796000000000006</v>
      </c>
      <c r="O27" s="71">
        <v>95.953999999999994</v>
      </c>
      <c r="P27" s="71">
        <v>98.010999999999996</v>
      </c>
      <c r="Q27" s="79">
        <v>119.14700000000001</v>
      </c>
    </row>
    <row r="28" spans="1:52" x14ac:dyDescent="0.25">
      <c r="A28" s="426" t="s">
        <v>132</v>
      </c>
      <c r="B28" s="94" t="s">
        <v>98</v>
      </c>
      <c r="C28" s="36">
        <f>SUM(D28:G28)</f>
        <v>0.19800000000000001</v>
      </c>
      <c r="D28" s="405">
        <v>3.9E-2</v>
      </c>
      <c r="E28" s="71">
        <v>5.8999999999999997E-2</v>
      </c>
      <c r="F28" s="71">
        <v>5.3999999999999999E-2</v>
      </c>
      <c r="G28" s="79">
        <v>4.5999999999999999E-2</v>
      </c>
      <c r="H28" s="36">
        <f>SUM(I28:L28)</f>
        <v>0.20900000000000002</v>
      </c>
      <c r="I28" s="59">
        <v>4.1000000000000002E-2</v>
      </c>
      <c r="J28" s="71">
        <v>6.2E-2</v>
      </c>
      <c r="K28" s="71">
        <v>5.7000000000000002E-2</v>
      </c>
      <c r="L28" s="79">
        <v>4.9000000000000002E-2</v>
      </c>
      <c r="M28" s="36">
        <f>SUM(N28:Q28)</f>
        <v>0.19600000000000001</v>
      </c>
      <c r="N28" s="59">
        <v>4.1000000000000002E-2</v>
      </c>
      <c r="O28" s="71">
        <v>6.2E-2</v>
      </c>
      <c r="P28" s="71">
        <v>5.7000000000000002E-2</v>
      </c>
      <c r="Q28" s="79">
        <v>3.5999999999999997E-2</v>
      </c>
    </row>
    <row r="29" spans="1:52" x14ac:dyDescent="0.25">
      <c r="A29" s="229" t="s">
        <v>16</v>
      </c>
      <c r="B29" s="94" t="s">
        <v>98</v>
      </c>
      <c r="C29" s="36">
        <f>SUM(D29:G29)</f>
        <v>17.240000000000002</v>
      </c>
      <c r="D29" s="405">
        <v>5.5</v>
      </c>
      <c r="E29" s="71">
        <v>4.8</v>
      </c>
      <c r="F29" s="71">
        <v>3.9</v>
      </c>
      <c r="G29" s="79">
        <v>3.04</v>
      </c>
      <c r="H29" s="36">
        <f>SUM(I29:L29)</f>
        <v>8.8000000000000007</v>
      </c>
      <c r="I29" s="405">
        <v>2.2000000000000002</v>
      </c>
      <c r="J29" s="71">
        <v>2.2000000000000002</v>
      </c>
      <c r="K29" s="71">
        <v>2.2000000000000002</v>
      </c>
      <c r="L29" s="79">
        <v>2.2000000000000002</v>
      </c>
      <c r="M29" s="36">
        <f>SUM(N29:Q29)</f>
        <v>6.2</v>
      </c>
      <c r="N29" s="405">
        <v>1.8</v>
      </c>
      <c r="O29" s="71">
        <v>1.2</v>
      </c>
      <c r="P29" s="71">
        <v>1.2</v>
      </c>
      <c r="Q29" s="79">
        <v>2</v>
      </c>
    </row>
    <row r="30" spans="1:52" x14ac:dyDescent="0.25">
      <c r="A30" s="229" t="s">
        <v>17</v>
      </c>
      <c r="B30" s="94" t="s">
        <v>98</v>
      </c>
      <c r="C30" s="36">
        <f>C25+C26+C29</f>
        <v>288.98199999999997</v>
      </c>
      <c r="D30" s="192">
        <f t="shared" ref="D30:G30" si="0">D25+D26+D29</f>
        <v>74.006</v>
      </c>
      <c r="E30" s="193">
        <f t="shared" si="0"/>
        <v>70.564999999999998</v>
      </c>
      <c r="F30" s="193">
        <f t="shared" si="0"/>
        <v>72.719000000000008</v>
      </c>
      <c r="G30" s="194">
        <f t="shared" si="0"/>
        <v>84.632000000000005</v>
      </c>
      <c r="H30" s="36">
        <f>H25+H26+H29</f>
        <v>401.10600000000005</v>
      </c>
      <c r="I30" s="192">
        <f t="shared" ref="I30" si="1">I25+I26+I29</f>
        <v>97.852000000000004</v>
      </c>
      <c r="J30" s="193">
        <f t="shared" ref="J30" si="2">J25+J26+J29</f>
        <v>101.78200000000001</v>
      </c>
      <c r="K30" s="193">
        <f t="shared" ref="K30" si="3">K25+K26+K29</f>
        <v>93.682000000000002</v>
      </c>
      <c r="L30" s="194">
        <f t="shared" ref="L30" si="4">L25+L26+L29</f>
        <v>125.596</v>
      </c>
      <c r="M30" s="36">
        <f>M25+M26+M29</f>
        <v>428.21</v>
      </c>
      <c r="N30" s="192">
        <f t="shared" ref="N30" si="5">N25+N26+N29</f>
        <v>110.54300000000001</v>
      </c>
      <c r="O30" s="193">
        <f t="shared" ref="O30" si="6">O25+O26+O29</f>
        <v>102.79600000000001</v>
      </c>
      <c r="P30" s="193">
        <f t="shared" ref="P30" si="7">P25+P26+P29</f>
        <v>100.45700000000001</v>
      </c>
      <c r="Q30" s="194">
        <f t="shared" ref="Q30" si="8">Q25+Q26+Q29</f>
        <v>126.941</v>
      </c>
    </row>
    <row r="31" spans="1:52" x14ac:dyDescent="0.25">
      <c r="A31" s="229" t="s">
        <v>79</v>
      </c>
      <c r="B31" s="94" t="s">
        <v>98</v>
      </c>
      <c r="C31" s="36">
        <f>SUM(D31:G31)</f>
        <v>2.1</v>
      </c>
      <c r="D31" s="405">
        <v>0.6</v>
      </c>
      <c r="E31" s="71">
        <v>0.3</v>
      </c>
      <c r="F31" s="71">
        <v>0.35</v>
      </c>
      <c r="G31" s="70">
        <v>0.85</v>
      </c>
      <c r="H31" s="39">
        <f>SUM(I31:L31)</f>
        <v>2.1</v>
      </c>
      <c r="I31" s="405">
        <v>0.6</v>
      </c>
      <c r="J31" s="71">
        <v>0.3</v>
      </c>
      <c r="K31" s="71">
        <v>0.35</v>
      </c>
      <c r="L31" s="70">
        <v>0.85</v>
      </c>
      <c r="M31" s="36">
        <f>SUM(N31:Q31)</f>
        <v>1.0999999999999999</v>
      </c>
      <c r="N31" s="405">
        <v>0.3</v>
      </c>
      <c r="O31" s="71">
        <v>0.3</v>
      </c>
      <c r="P31" s="71">
        <v>0.35</v>
      </c>
      <c r="Q31" s="70">
        <v>0.15</v>
      </c>
    </row>
    <row r="32" spans="1:52" x14ac:dyDescent="0.25">
      <c r="A32" s="229" t="s">
        <v>5</v>
      </c>
      <c r="B32" s="94" t="s">
        <v>98</v>
      </c>
      <c r="C32" s="36">
        <f>SUM(D32:G32)</f>
        <v>1.2</v>
      </c>
      <c r="D32" s="405">
        <v>0.3</v>
      </c>
      <c r="E32" s="71">
        <v>0.3</v>
      </c>
      <c r="F32" s="71">
        <v>0.3</v>
      </c>
      <c r="G32" s="70">
        <v>0.3</v>
      </c>
      <c r="H32" s="36">
        <f>SUM(I32:L32)</f>
        <v>1.7</v>
      </c>
      <c r="I32" s="405">
        <v>0.4</v>
      </c>
      <c r="J32" s="71">
        <v>0.43</v>
      </c>
      <c r="K32" s="71">
        <v>0.43</v>
      </c>
      <c r="L32" s="70">
        <v>0.44</v>
      </c>
      <c r="M32" s="36">
        <f>SUM(N32:Q32)</f>
        <v>4.0060000000000002</v>
      </c>
      <c r="N32" s="405">
        <v>0.6</v>
      </c>
      <c r="O32" s="71">
        <v>1.4330000000000001</v>
      </c>
      <c r="P32" s="71">
        <v>1.4330000000000001</v>
      </c>
      <c r="Q32" s="70">
        <v>0.54</v>
      </c>
    </row>
    <row r="33" spans="1:64" x14ac:dyDescent="0.25">
      <c r="A33" s="229" t="s">
        <v>18</v>
      </c>
      <c r="B33" s="94" t="s">
        <v>98</v>
      </c>
      <c r="C33" s="39">
        <f>SUM(D33:G33)</f>
        <v>32.799999999999997</v>
      </c>
      <c r="D33" s="405">
        <v>5</v>
      </c>
      <c r="E33" s="71">
        <v>6.2</v>
      </c>
      <c r="F33" s="71">
        <v>9</v>
      </c>
      <c r="G33" s="70">
        <v>12.6</v>
      </c>
      <c r="H33" s="36">
        <f>SUM(I33:L33)</f>
        <v>137.19999999999999</v>
      </c>
      <c r="I33" s="405">
        <v>30</v>
      </c>
      <c r="J33" s="71">
        <v>31</v>
      </c>
      <c r="K33" s="71">
        <v>32</v>
      </c>
      <c r="L33" s="70">
        <v>44.2</v>
      </c>
      <c r="M33" s="36">
        <f>SUM(N33:Q33)</f>
        <v>159.5</v>
      </c>
      <c r="N33" s="405">
        <v>40</v>
      </c>
      <c r="O33" s="71">
        <v>37</v>
      </c>
      <c r="P33" s="71">
        <v>33</v>
      </c>
      <c r="Q33" s="70">
        <v>49.5</v>
      </c>
    </row>
    <row r="34" spans="1:64" x14ac:dyDescent="0.25">
      <c r="A34" s="229" t="s">
        <v>6</v>
      </c>
      <c r="B34" s="94" t="s">
        <v>98</v>
      </c>
      <c r="C34" s="36">
        <f>SUM(D34:G34)</f>
        <v>243.7</v>
      </c>
      <c r="D34" s="405">
        <v>59</v>
      </c>
      <c r="E34" s="71">
        <v>63</v>
      </c>
      <c r="F34" s="71">
        <v>60</v>
      </c>
      <c r="G34" s="70">
        <v>61.7</v>
      </c>
      <c r="H34" s="36">
        <f>SUM(I34:L34)</f>
        <v>248.2</v>
      </c>
      <c r="I34" s="405">
        <v>58</v>
      </c>
      <c r="J34" s="71">
        <v>62</v>
      </c>
      <c r="K34" s="71">
        <v>60</v>
      </c>
      <c r="L34" s="70">
        <v>68.2</v>
      </c>
      <c r="M34" s="40">
        <f>SUM(N34:Q34)</f>
        <v>251.7</v>
      </c>
      <c r="N34" s="405">
        <v>64.063000000000002</v>
      </c>
      <c r="O34" s="71">
        <v>62.874000000000002</v>
      </c>
      <c r="P34" s="71">
        <v>59.915999999999997</v>
      </c>
      <c r="Q34" s="70">
        <v>64.846999999999994</v>
      </c>
    </row>
    <row r="35" spans="1:64" ht="15.75" thickBot="1" x14ac:dyDescent="0.3">
      <c r="A35" s="229" t="s">
        <v>8</v>
      </c>
      <c r="B35" s="95" t="s">
        <v>98</v>
      </c>
      <c r="C35" s="38">
        <f>G35</f>
        <v>9.1820000000000004</v>
      </c>
      <c r="D35" s="406">
        <v>9.1059999999999999</v>
      </c>
      <c r="E35" s="407">
        <v>0.76500000000000001</v>
      </c>
      <c r="F35" s="407">
        <v>3.069</v>
      </c>
      <c r="G35" s="408">
        <v>9.1820000000000004</v>
      </c>
      <c r="H35" s="42">
        <f>L35</f>
        <v>11.906000000000001</v>
      </c>
      <c r="I35" s="406">
        <v>8.8520000000000003</v>
      </c>
      <c r="J35" s="407">
        <v>8.0519999999999996</v>
      </c>
      <c r="K35" s="407">
        <v>0.90200000000000002</v>
      </c>
      <c r="L35" s="408">
        <v>11.906000000000001</v>
      </c>
      <c r="M35" s="38">
        <f>Q35</f>
        <v>11.904</v>
      </c>
      <c r="N35" s="406">
        <v>5.58</v>
      </c>
      <c r="O35" s="407">
        <v>1.1890000000000001</v>
      </c>
      <c r="P35" s="407">
        <v>5.758</v>
      </c>
      <c r="Q35" s="408">
        <v>11.904</v>
      </c>
      <c r="R35" s="4"/>
      <c r="S35" s="4"/>
      <c r="T35" s="4"/>
      <c r="U35" s="4"/>
      <c r="V35" s="4"/>
      <c r="W35" s="4"/>
      <c r="Y35" s="4"/>
      <c r="Z35" s="4"/>
      <c r="AA35" s="4"/>
      <c r="AB35" s="4"/>
      <c r="AD35" s="4"/>
      <c r="AE35" s="4"/>
      <c r="AF35" s="4"/>
      <c r="AG35" s="4"/>
      <c r="AI35" s="4"/>
      <c r="AJ35" s="4"/>
      <c r="AK35" s="4"/>
      <c r="AL35" s="4"/>
    </row>
    <row r="36" spans="1:64" ht="15.75" thickBot="1" x14ac:dyDescent="0.3">
      <c r="A36" s="4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Y36" s="2"/>
      <c r="Z36" s="2"/>
    </row>
    <row r="37" spans="1:64" ht="57.75" thickBot="1" x14ac:dyDescent="0.3">
      <c r="A37" s="171" t="s">
        <v>122</v>
      </c>
      <c r="B37" s="237"/>
      <c r="C37" s="226">
        <f t="shared" ref="C37:Q37" si="9">C30-(C31+C32+C33+C34)-C35</f>
        <v>1.5987211554602254E-14</v>
      </c>
      <c r="D37" s="172">
        <f t="shared" si="9"/>
        <v>0</v>
      </c>
      <c r="E37" s="173">
        <f t="shared" si="9"/>
        <v>0</v>
      </c>
      <c r="F37" s="173">
        <f t="shared" si="9"/>
        <v>0</v>
      </c>
      <c r="G37" s="227">
        <f t="shared" si="9"/>
        <v>0</v>
      </c>
      <c r="H37" s="228">
        <f t="shared" si="9"/>
        <v>6.2172489379008766E-14</v>
      </c>
      <c r="I37" s="172">
        <f t="shared" si="9"/>
        <v>0</v>
      </c>
      <c r="J37" s="173">
        <f t="shared" si="9"/>
        <v>0</v>
      </c>
      <c r="K37" s="173">
        <f t="shared" si="9"/>
        <v>9.9920072216264089E-16</v>
      </c>
      <c r="L37" s="227">
        <f t="shared" si="9"/>
        <v>0</v>
      </c>
      <c r="M37" s="228">
        <f t="shared" si="9"/>
        <v>0</v>
      </c>
      <c r="N37" s="172">
        <f t="shared" si="9"/>
        <v>1.2434497875801753E-14</v>
      </c>
      <c r="O37" s="173">
        <f t="shared" si="9"/>
        <v>7.1054273576010019E-15</v>
      </c>
      <c r="P37" s="173">
        <f t="shared" si="9"/>
        <v>9.7699626167013776E-15</v>
      </c>
      <c r="Q37" s="174">
        <f t="shared" si="9"/>
        <v>0</v>
      </c>
      <c r="Y37" s="2"/>
      <c r="Z37" s="2"/>
    </row>
    <row r="38" spans="1:64" ht="15.75" thickBot="1" x14ac:dyDescent="0.3">
      <c r="B38" s="37"/>
      <c r="H38" s="2"/>
      <c r="Y38" s="2"/>
      <c r="Z38" s="2"/>
    </row>
    <row r="39" spans="1:64" s="109" customFormat="1" ht="45" customHeight="1" thickBot="1" x14ac:dyDescent="0.3">
      <c r="A39" s="171" t="s">
        <v>82</v>
      </c>
      <c r="B39" s="175"/>
      <c r="C39" s="176" t="str">
        <f t="shared" ref="C39:Q39" si="10">IF(SUM(C26:C35)&gt;0,"Проверка пройдена","Заполните данные в балансе")</f>
        <v>Проверка пройдена</v>
      </c>
      <c r="D39" s="177" t="str">
        <f t="shared" si="10"/>
        <v>Проверка пройдена</v>
      </c>
      <c r="E39" s="178" t="str">
        <f t="shared" si="10"/>
        <v>Проверка пройдена</v>
      </c>
      <c r="F39" s="178" t="str">
        <f t="shared" si="10"/>
        <v>Проверка пройдена</v>
      </c>
      <c r="G39" s="181" t="str">
        <f t="shared" si="10"/>
        <v>Проверка пройдена</v>
      </c>
      <c r="H39" s="176" t="str">
        <f t="shared" si="10"/>
        <v>Проверка пройдена</v>
      </c>
      <c r="I39" s="177" t="str">
        <f t="shared" si="10"/>
        <v>Проверка пройдена</v>
      </c>
      <c r="J39" s="178" t="str">
        <f t="shared" si="10"/>
        <v>Проверка пройдена</v>
      </c>
      <c r="K39" s="178" t="str">
        <f t="shared" si="10"/>
        <v>Проверка пройдена</v>
      </c>
      <c r="L39" s="181" t="str">
        <f t="shared" si="10"/>
        <v>Проверка пройдена</v>
      </c>
      <c r="M39" s="176" t="str">
        <f t="shared" si="10"/>
        <v>Проверка пройдена</v>
      </c>
      <c r="N39" s="177" t="str">
        <f t="shared" si="10"/>
        <v>Проверка пройдена</v>
      </c>
      <c r="O39" s="178" t="str">
        <f t="shared" si="10"/>
        <v>Проверка пройдена</v>
      </c>
      <c r="P39" s="178" t="str">
        <f t="shared" si="10"/>
        <v>Проверка пройдена</v>
      </c>
      <c r="Q39" s="179" t="str">
        <f t="shared" si="10"/>
        <v>Проверка пройдена</v>
      </c>
      <c r="Y39" s="110"/>
      <c r="Z39" s="110"/>
    </row>
    <row r="40" spans="1:64" x14ac:dyDescent="0.25">
      <c r="D40" s="2"/>
      <c r="H40" s="2"/>
      <c r="Y40" s="2"/>
      <c r="Z40" s="2"/>
    </row>
    <row r="41" spans="1:64" x14ac:dyDescent="0.25">
      <c r="A41" s="107" t="s">
        <v>115</v>
      </c>
      <c r="B41" s="17"/>
      <c r="C41" s="4"/>
      <c r="D41" s="4"/>
      <c r="E41" s="4"/>
      <c r="F41" s="4"/>
      <c r="G41" s="4"/>
      <c r="H41" s="6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U41" s="4"/>
      <c r="AV41" s="4"/>
      <c r="AW41" s="4"/>
    </row>
    <row r="42" spans="1:64" x14ac:dyDescent="0.25">
      <c r="A42" s="108" t="s">
        <v>90</v>
      </c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</row>
    <row r="43" spans="1:64" ht="15.75" thickBot="1" x14ac:dyDescent="0.3">
      <c r="A43" s="108" t="s">
        <v>89</v>
      </c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</row>
    <row r="44" spans="1:64" ht="14.65" customHeight="1" x14ac:dyDescent="0.25">
      <c r="A44" s="443" t="s">
        <v>15</v>
      </c>
      <c r="B44" s="445" t="s">
        <v>36</v>
      </c>
      <c r="C44" s="428" t="s">
        <v>142</v>
      </c>
      <c r="D44" s="434" t="s">
        <v>142</v>
      </c>
      <c r="E44" s="431"/>
      <c r="F44" s="431"/>
      <c r="G44" s="435"/>
      <c r="H44" s="428" t="s">
        <v>143</v>
      </c>
      <c r="I44" s="434" t="s">
        <v>143</v>
      </c>
      <c r="J44" s="431"/>
      <c r="K44" s="431"/>
      <c r="L44" s="435"/>
      <c r="M44" s="428" t="s">
        <v>144</v>
      </c>
      <c r="N44" s="434" t="s">
        <v>144</v>
      </c>
      <c r="O44" s="431"/>
      <c r="P44" s="431"/>
      <c r="Q44" s="435"/>
      <c r="R44" s="428" t="s">
        <v>145</v>
      </c>
      <c r="S44" s="434" t="s">
        <v>145</v>
      </c>
      <c r="T44" s="431"/>
      <c r="U44" s="431"/>
      <c r="V44" s="435"/>
      <c r="W44" s="428" t="s">
        <v>136</v>
      </c>
      <c r="X44" s="434" t="s">
        <v>136</v>
      </c>
      <c r="Y44" s="431"/>
      <c r="Z44" s="431"/>
      <c r="AA44" s="435"/>
      <c r="AB44" s="428" t="s">
        <v>137</v>
      </c>
      <c r="AC44" s="434" t="s">
        <v>137</v>
      </c>
      <c r="AD44" s="431"/>
      <c r="AE44" s="431"/>
      <c r="AF44" s="435"/>
      <c r="AG44" s="428" t="s">
        <v>138</v>
      </c>
      <c r="AH44" s="433" t="s">
        <v>138</v>
      </c>
      <c r="AI44" s="431"/>
      <c r="AJ44" s="431"/>
      <c r="AK44" s="432"/>
      <c r="AL44" s="4"/>
      <c r="AM44" s="4"/>
      <c r="AT44" s="6"/>
      <c r="AU44" s="6"/>
      <c r="AV44" s="6"/>
      <c r="AW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ht="15.75" thickBot="1" x14ac:dyDescent="0.3">
      <c r="A45" s="444"/>
      <c r="B45" s="446"/>
      <c r="C45" s="429"/>
      <c r="D45" s="341" t="s">
        <v>0</v>
      </c>
      <c r="E45" s="342" t="s">
        <v>1</v>
      </c>
      <c r="F45" s="342" t="s">
        <v>2</v>
      </c>
      <c r="G45" s="343" t="s">
        <v>3</v>
      </c>
      <c r="H45" s="429"/>
      <c r="I45" s="341" t="s">
        <v>0</v>
      </c>
      <c r="J45" s="342" t="s">
        <v>1</v>
      </c>
      <c r="K45" s="342" t="s">
        <v>2</v>
      </c>
      <c r="L45" s="343" t="s">
        <v>3</v>
      </c>
      <c r="M45" s="429"/>
      <c r="N45" s="341" t="s">
        <v>0</v>
      </c>
      <c r="O45" s="342" t="s">
        <v>1</v>
      </c>
      <c r="P45" s="342" t="s">
        <v>2</v>
      </c>
      <c r="Q45" s="343" t="s">
        <v>3</v>
      </c>
      <c r="R45" s="429"/>
      <c r="S45" s="341" t="s">
        <v>0</v>
      </c>
      <c r="T45" s="342" t="s">
        <v>1</v>
      </c>
      <c r="U45" s="342" t="s">
        <v>2</v>
      </c>
      <c r="V45" s="344" t="s">
        <v>3</v>
      </c>
      <c r="W45" s="429"/>
      <c r="X45" s="341" t="s">
        <v>0</v>
      </c>
      <c r="Y45" s="342" t="s">
        <v>1</v>
      </c>
      <c r="Z45" s="342" t="s">
        <v>2</v>
      </c>
      <c r="AA45" s="343" t="s">
        <v>3</v>
      </c>
      <c r="AB45" s="429"/>
      <c r="AC45" s="341" t="s">
        <v>0</v>
      </c>
      <c r="AD45" s="342" t="s">
        <v>1</v>
      </c>
      <c r="AE45" s="342" t="s">
        <v>2</v>
      </c>
      <c r="AF45" s="343" t="s">
        <v>3</v>
      </c>
      <c r="AG45" s="429"/>
      <c r="AH45" s="341" t="s">
        <v>0</v>
      </c>
      <c r="AI45" s="342" t="s">
        <v>1</v>
      </c>
      <c r="AJ45" s="342" t="s">
        <v>2</v>
      </c>
      <c r="AK45" s="344" t="s">
        <v>3</v>
      </c>
      <c r="AL45" s="4"/>
      <c r="AM45" s="4"/>
      <c r="AT45" s="6"/>
      <c r="AU45" s="6"/>
      <c r="AV45" s="6"/>
      <c r="AW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s="47" customFormat="1" ht="15.75" thickBot="1" x14ac:dyDescent="0.3">
      <c r="A46" s="106" t="s">
        <v>8</v>
      </c>
      <c r="B46" s="97" t="s">
        <v>98</v>
      </c>
      <c r="C46" s="49">
        <f>G46</f>
        <v>4.9000000000000004</v>
      </c>
      <c r="D46" s="407">
        <v>4.9000000000000004</v>
      </c>
      <c r="E46" s="80">
        <v>4.9000000000000004</v>
      </c>
      <c r="F46" s="80">
        <v>4.9000000000000004</v>
      </c>
      <c r="G46" s="80">
        <v>4.9000000000000004</v>
      </c>
      <c r="H46" s="50">
        <f>L46</f>
        <v>6.1</v>
      </c>
      <c r="I46" s="407">
        <v>6.1</v>
      </c>
      <c r="J46" s="80">
        <v>6.1</v>
      </c>
      <c r="K46" s="80">
        <v>6.1</v>
      </c>
      <c r="L46" s="80">
        <v>6.1</v>
      </c>
      <c r="M46" s="50">
        <f>Q46</f>
        <v>3.6</v>
      </c>
      <c r="N46" s="407">
        <v>3.6</v>
      </c>
      <c r="O46" s="80">
        <v>3.6</v>
      </c>
      <c r="P46" s="80">
        <v>3.6</v>
      </c>
      <c r="Q46" s="80">
        <v>3.6</v>
      </c>
      <c r="R46" s="50">
        <f>V46</f>
        <v>8.5670000000000002</v>
      </c>
      <c r="S46" s="407">
        <v>8.8350000000000009</v>
      </c>
      <c r="T46" s="80">
        <v>9.2899999999999991</v>
      </c>
      <c r="U46" s="80">
        <v>5.99</v>
      </c>
      <c r="V46" s="80">
        <v>8.5670000000000002</v>
      </c>
      <c r="W46" s="252">
        <f>AA46</f>
        <v>9.1820000000000004</v>
      </c>
      <c r="X46" s="253">
        <f>D35</f>
        <v>9.1059999999999999</v>
      </c>
      <c r="Y46" s="253">
        <f>E35</f>
        <v>0.76500000000000001</v>
      </c>
      <c r="Z46" s="253">
        <f>F35</f>
        <v>3.069</v>
      </c>
      <c r="AA46" s="253">
        <f>G35</f>
        <v>9.1820000000000004</v>
      </c>
      <c r="AB46" s="252">
        <f>AF46</f>
        <v>11.906000000000001</v>
      </c>
      <c r="AC46" s="253">
        <f>I35</f>
        <v>8.8520000000000003</v>
      </c>
      <c r="AD46" s="253">
        <f>J35</f>
        <v>8.0519999999999996</v>
      </c>
      <c r="AE46" s="253">
        <f>K35</f>
        <v>0.90200000000000002</v>
      </c>
      <c r="AF46" s="253">
        <f>L35</f>
        <v>11.906000000000001</v>
      </c>
      <c r="AG46" s="252">
        <f>AK46</f>
        <v>11.904</v>
      </c>
      <c r="AH46" s="253">
        <f>N35</f>
        <v>5.58</v>
      </c>
      <c r="AI46" s="253">
        <f>O35</f>
        <v>1.1890000000000001</v>
      </c>
      <c r="AJ46" s="253">
        <f>P35</f>
        <v>5.758</v>
      </c>
      <c r="AK46" s="254">
        <f>Q35</f>
        <v>11.904</v>
      </c>
      <c r="AL46" s="255"/>
      <c r="AM46" s="255"/>
      <c r="AN46" s="256"/>
      <c r="AT46" s="48"/>
      <c r="AU46" s="48"/>
      <c r="AV46" s="48"/>
      <c r="AW46" s="48"/>
      <c r="AZ46" s="47">
        <v>251</v>
      </c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</row>
    <row r="47" spans="1:64" s="9" customFormat="1" ht="15.75" thickBot="1" x14ac:dyDescent="0.3">
      <c r="A47" s="88"/>
      <c r="B47" s="89"/>
      <c r="C47" s="28"/>
      <c r="D47" s="27"/>
      <c r="E47" s="27"/>
      <c r="F47" s="27"/>
      <c r="G47" s="27"/>
      <c r="H47" s="28"/>
      <c r="I47" s="27"/>
      <c r="J47" s="27"/>
      <c r="K47" s="27"/>
      <c r="L47" s="27"/>
      <c r="M47" s="28"/>
      <c r="N47" s="27"/>
      <c r="O47" s="27"/>
      <c r="P47" s="27"/>
      <c r="Q47" s="27"/>
      <c r="R47" s="28"/>
      <c r="S47" s="27"/>
      <c r="T47" s="27"/>
      <c r="U47" s="27"/>
      <c r="V47" s="27"/>
      <c r="W47" s="28"/>
      <c r="X47" s="27"/>
      <c r="Y47" s="27"/>
      <c r="Z47" s="27"/>
      <c r="AA47" s="27"/>
      <c r="AB47" s="28"/>
      <c r="AC47" s="27"/>
      <c r="AD47" s="27"/>
      <c r="AE47" s="27"/>
      <c r="AF47" s="27"/>
      <c r="AG47" s="28"/>
      <c r="AH47" s="27"/>
      <c r="AI47" s="27"/>
      <c r="AJ47" s="27"/>
      <c r="AK47" s="27"/>
    </row>
    <row r="48" spans="1:64" s="184" customFormat="1" ht="58.5" customHeight="1" thickBot="1" x14ac:dyDescent="0.3">
      <c r="A48" s="171" t="s">
        <v>88</v>
      </c>
      <c r="B48" s="180"/>
      <c r="C48" s="176" t="str">
        <f>IF(C46&gt;0,"Проверка пройдена","Заполните данные в запасах (Таблица 5)")</f>
        <v>Проверка пройдена</v>
      </c>
      <c r="D48" s="177" t="str">
        <f t="shared" ref="D48:V48" si="11">IF(D46&gt;0,"Проверка пройдена","Заполните данные в запасах (Таблица 5)")</f>
        <v>Проверка пройдена</v>
      </c>
      <c r="E48" s="178" t="str">
        <f t="shared" si="11"/>
        <v>Проверка пройдена</v>
      </c>
      <c r="F48" s="178" t="str">
        <f t="shared" si="11"/>
        <v>Проверка пройдена</v>
      </c>
      <c r="G48" s="181" t="str">
        <f t="shared" si="11"/>
        <v>Проверка пройдена</v>
      </c>
      <c r="H48" s="176" t="str">
        <f t="shared" si="11"/>
        <v>Проверка пройдена</v>
      </c>
      <c r="I48" s="177" t="str">
        <f t="shared" si="11"/>
        <v>Проверка пройдена</v>
      </c>
      <c r="J48" s="178" t="str">
        <f t="shared" si="11"/>
        <v>Проверка пройдена</v>
      </c>
      <c r="K48" s="178" t="str">
        <f t="shared" si="11"/>
        <v>Проверка пройдена</v>
      </c>
      <c r="L48" s="181" t="str">
        <f t="shared" si="11"/>
        <v>Проверка пройдена</v>
      </c>
      <c r="M48" s="176" t="str">
        <f t="shared" si="11"/>
        <v>Проверка пройдена</v>
      </c>
      <c r="N48" s="177" t="str">
        <f t="shared" si="11"/>
        <v>Проверка пройдена</v>
      </c>
      <c r="O48" s="178" t="str">
        <f t="shared" si="11"/>
        <v>Проверка пройдена</v>
      </c>
      <c r="P48" s="178" t="str">
        <f t="shared" si="11"/>
        <v>Проверка пройдена</v>
      </c>
      <c r="Q48" s="181" t="str">
        <f t="shared" si="11"/>
        <v>Проверка пройдена</v>
      </c>
      <c r="R48" s="178" t="str">
        <f t="shared" si="11"/>
        <v>Проверка пройдена</v>
      </c>
      <c r="S48" s="177" t="str">
        <f t="shared" si="11"/>
        <v>Проверка пройдена</v>
      </c>
      <c r="T48" s="178" t="str">
        <f t="shared" si="11"/>
        <v>Проверка пройдена</v>
      </c>
      <c r="U48" s="178" t="str">
        <f t="shared" si="11"/>
        <v>Проверка пройдена</v>
      </c>
      <c r="V48" s="179" t="str">
        <f t="shared" si="11"/>
        <v>Проверка пройдена</v>
      </c>
      <c r="W48" s="182"/>
      <c r="X48" s="183"/>
      <c r="Y48" s="183"/>
      <c r="Z48" s="183"/>
      <c r="AA48" s="183"/>
      <c r="AB48" s="182"/>
      <c r="AC48" s="183"/>
      <c r="AD48" s="183"/>
      <c r="AE48" s="183"/>
      <c r="AF48" s="183"/>
      <c r="AG48" s="182"/>
      <c r="AH48" s="183"/>
      <c r="AI48" s="183"/>
      <c r="AJ48" s="183"/>
      <c r="AK48" s="183"/>
    </row>
    <row r="49" spans="1:39" s="9" customFormat="1" x14ac:dyDescent="0.25">
      <c r="A49" s="60"/>
      <c r="B49" s="103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28"/>
      <c r="X49" s="27"/>
      <c r="Y49" s="27"/>
      <c r="Z49" s="27"/>
      <c r="AA49" s="27"/>
      <c r="AB49" s="28"/>
      <c r="AC49" s="27"/>
      <c r="AD49" s="27"/>
      <c r="AE49" s="27"/>
      <c r="AF49" s="27"/>
      <c r="AG49" s="28"/>
      <c r="AH49" s="27"/>
      <c r="AI49" s="27"/>
      <c r="AJ49" s="27"/>
      <c r="AK49" s="27"/>
    </row>
    <row r="50" spans="1:39" s="9" customFormat="1" x14ac:dyDescent="0.25">
      <c r="A50" s="107" t="s">
        <v>116</v>
      </c>
      <c r="B50" s="103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28"/>
      <c r="X50" s="27"/>
      <c r="Y50" s="27"/>
      <c r="Z50" s="27"/>
      <c r="AA50" s="27"/>
      <c r="AB50" s="28"/>
      <c r="AC50" s="27"/>
      <c r="AD50" s="27"/>
      <c r="AE50" s="27"/>
      <c r="AF50" s="27"/>
      <c r="AG50" s="28"/>
      <c r="AH50" s="27"/>
      <c r="AI50" s="27"/>
      <c r="AJ50" s="27"/>
      <c r="AK50" s="27"/>
    </row>
    <row r="51" spans="1:39" ht="15.75" thickBot="1" x14ac:dyDescent="0.3">
      <c r="A51" s="108" t="s">
        <v>119</v>
      </c>
      <c r="B51" s="66"/>
      <c r="C51" s="65"/>
      <c r="D51" s="65"/>
      <c r="E51" s="67"/>
      <c r="F51" s="67"/>
      <c r="G51" s="67"/>
      <c r="H51" s="6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4"/>
    </row>
    <row r="52" spans="1:39" ht="14.65" customHeight="1" x14ac:dyDescent="0.25">
      <c r="A52" s="443" t="s">
        <v>15</v>
      </c>
      <c r="B52" s="445" t="s">
        <v>36</v>
      </c>
      <c r="C52" s="428" t="s">
        <v>139</v>
      </c>
      <c r="D52" s="434" t="s">
        <v>139</v>
      </c>
      <c r="E52" s="431"/>
      <c r="F52" s="431"/>
      <c r="G52" s="432"/>
      <c r="H52" s="447" t="s">
        <v>86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5.75" thickBot="1" x14ac:dyDescent="0.3">
      <c r="A53" s="444"/>
      <c r="B53" s="446"/>
      <c r="C53" s="429"/>
      <c r="D53" s="341" t="s">
        <v>0</v>
      </c>
      <c r="E53" s="342" t="s">
        <v>1</v>
      </c>
      <c r="F53" s="342" t="s">
        <v>2</v>
      </c>
      <c r="G53" s="344" t="s">
        <v>3</v>
      </c>
      <c r="H53" s="447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x14ac:dyDescent="0.25">
      <c r="A54" s="105" t="s">
        <v>7</v>
      </c>
      <c r="B54" s="98" t="s">
        <v>83</v>
      </c>
      <c r="C54" s="81">
        <f>SUM(D54:G54)</f>
        <v>1</v>
      </c>
      <c r="D54" s="239">
        <v>0.23</v>
      </c>
      <c r="E54" s="240">
        <v>0.22900000000000001</v>
      </c>
      <c r="F54" s="240">
        <v>0.23799999999999999</v>
      </c>
      <c r="G54" s="241">
        <v>0.30299999999999999</v>
      </c>
      <c r="H54" s="238" t="str">
        <f>IF(AND(SUM(D54:G54)&gt;0,C54&lt;&gt;1),"Сумма значений 1,2,3,4 кварталов должна равняться '1'","Проверка пройдена")</f>
        <v>Проверка пройдена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x14ac:dyDescent="0.25">
      <c r="A55" s="229" t="s">
        <v>5</v>
      </c>
      <c r="B55" s="94" t="s">
        <v>83</v>
      </c>
      <c r="C55" s="380">
        <f>SUM(D55:G55)</f>
        <v>1</v>
      </c>
      <c r="D55" s="381">
        <v>0.24399999999999999</v>
      </c>
      <c r="E55" s="382">
        <v>0.251</v>
      </c>
      <c r="F55" s="382">
        <v>0.251</v>
      </c>
      <c r="G55" s="383">
        <v>0.254</v>
      </c>
      <c r="H55" s="238" t="str">
        <f>IF(AND(SUM(D55:G55)&gt;0,C55&lt;&gt;1),"Сумма значений 1,2,3,4 кварталов должна равняться '1'","Проверка пройдена")</f>
        <v>Проверка пройдена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ht="15.75" thickBot="1" x14ac:dyDescent="0.3">
      <c r="A56" s="106" t="s">
        <v>6</v>
      </c>
      <c r="B56" s="97" t="s">
        <v>83</v>
      </c>
      <c r="C56" s="376">
        <f>SUM(D56:G56)</f>
        <v>1</v>
      </c>
      <c r="D56" s="377">
        <v>0.23799999999999999</v>
      </c>
      <c r="E56" s="378">
        <v>0.254</v>
      </c>
      <c r="F56" s="378">
        <v>0.24399999999999999</v>
      </c>
      <c r="G56" s="379">
        <v>0.26400000000000001</v>
      </c>
      <c r="H56" s="238" t="str">
        <f>IF(AND(SUM(D56:G56)&gt;0,C56&lt;&gt;1),"Сумма значений 1,2,3,4 кварталов должна равняться '1'","Проверка пройдена")</f>
        <v>Проверка пройдена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x14ac:dyDescent="0.25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4"/>
    </row>
    <row r="58" spans="1:39" x14ac:dyDescent="0.25">
      <c r="A58" s="384" t="s">
        <v>117</v>
      </c>
      <c r="B58" s="385"/>
      <c r="C58" s="61"/>
      <c r="D58" s="61"/>
      <c r="E58" s="61"/>
      <c r="F58" s="61"/>
      <c r="G58" s="61"/>
      <c r="H58" s="6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4"/>
    </row>
    <row r="59" spans="1:39" x14ac:dyDescent="0.25">
      <c r="A59" s="108" t="s">
        <v>101</v>
      </c>
      <c r="B59" s="62"/>
      <c r="C59" s="67"/>
      <c r="D59" s="67"/>
      <c r="E59" s="67"/>
      <c r="F59" s="67"/>
      <c r="G59" s="67"/>
      <c r="H59" s="6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4"/>
    </row>
    <row r="60" spans="1:39" x14ac:dyDescent="0.25">
      <c r="A60" s="108" t="s">
        <v>102</v>
      </c>
      <c r="B60" s="62"/>
      <c r="C60" s="67"/>
      <c r="D60" s="67"/>
      <c r="E60" s="67"/>
      <c r="F60" s="67"/>
      <c r="G60" s="67"/>
      <c r="H60" s="6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4"/>
    </row>
    <row r="61" spans="1:39" ht="15.75" thickBot="1" x14ac:dyDescent="0.3">
      <c r="A61" s="108" t="s">
        <v>121</v>
      </c>
      <c r="B61" s="62"/>
      <c r="C61" s="67"/>
      <c r="D61" s="67"/>
      <c r="E61" s="67"/>
      <c r="F61" s="67"/>
      <c r="G61" s="67"/>
      <c r="H61" s="6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4"/>
    </row>
    <row r="62" spans="1:39" ht="15.75" thickBot="1" x14ac:dyDescent="0.3">
      <c r="A62" s="386" t="s">
        <v>13</v>
      </c>
      <c r="B62" s="387" t="s">
        <v>36</v>
      </c>
      <c r="C62" s="388" t="s">
        <v>136</v>
      </c>
      <c r="D62" s="389" t="s">
        <v>137</v>
      </c>
      <c r="E62" s="390" t="s">
        <v>138</v>
      </c>
      <c r="F62" s="391" t="s">
        <v>139</v>
      </c>
      <c r="G62" s="389" t="s">
        <v>140</v>
      </c>
      <c r="H62" s="390" t="s">
        <v>141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4"/>
    </row>
    <row r="63" spans="1:39" ht="15.75" thickBot="1" x14ac:dyDescent="0.3">
      <c r="A63" s="392" t="s">
        <v>103</v>
      </c>
      <c r="B63" s="393" t="s">
        <v>104</v>
      </c>
      <c r="C63" s="394">
        <v>1018.19</v>
      </c>
      <c r="D63" s="395">
        <v>1015.79</v>
      </c>
      <c r="E63" s="396">
        <v>1015.79</v>
      </c>
      <c r="F63" s="397">
        <v>1015.79</v>
      </c>
      <c r="G63" s="398">
        <v>1015.79</v>
      </c>
      <c r="H63" s="399">
        <v>1015.79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4"/>
    </row>
    <row r="64" spans="1:39" x14ac:dyDescent="0.25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4"/>
    </row>
    <row r="65" spans="1:49" x14ac:dyDescent="0.25">
      <c r="A65" s="384" t="s">
        <v>105</v>
      </c>
      <c r="B65" s="385"/>
      <c r="C65" s="61"/>
      <c r="D65" s="61"/>
      <c r="E65" s="6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4"/>
    </row>
    <row r="66" spans="1:49" ht="15.75" thickBot="1" x14ac:dyDescent="0.3">
      <c r="A66" s="108" t="s">
        <v>120</v>
      </c>
      <c r="B66" s="62"/>
      <c r="C66" s="67"/>
      <c r="D66" s="67"/>
      <c r="E66" s="6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4"/>
    </row>
    <row r="67" spans="1:49" ht="15.75" thickBot="1" x14ac:dyDescent="0.3">
      <c r="A67" s="386" t="s">
        <v>13</v>
      </c>
      <c r="B67" s="387" t="s">
        <v>36</v>
      </c>
      <c r="C67" s="388" t="s">
        <v>139</v>
      </c>
      <c r="D67" s="389" t="s">
        <v>140</v>
      </c>
      <c r="E67" s="390" t="s">
        <v>141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4"/>
    </row>
    <row r="68" spans="1:49" ht="15.75" thickBot="1" x14ac:dyDescent="0.3">
      <c r="A68" s="392" t="s">
        <v>109</v>
      </c>
      <c r="B68" s="400" t="s">
        <v>106</v>
      </c>
      <c r="C68" s="401">
        <f>IFERROR(((C34+H34+M34)/(C63+D63+E63))*1000,0)</f>
        <v>243.82166524032959</v>
      </c>
      <c r="D68" s="402">
        <f>C68</f>
        <v>243.82166524032959</v>
      </c>
      <c r="E68" s="403">
        <f>D68</f>
        <v>243.82166524032959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4"/>
    </row>
    <row r="69" spans="1:49" x14ac:dyDescent="0.25">
      <c r="A69" s="1"/>
      <c r="B69" s="7"/>
      <c r="C69" s="7"/>
      <c r="D69" s="7"/>
      <c r="E69" s="7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4"/>
    </row>
    <row r="70" spans="1:49" x14ac:dyDescent="0.25">
      <c r="A70" s="107" t="s">
        <v>118</v>
      </c>
      <c r="B70" s="104"/>
      <c r="C70" s="8"/>
      <c r="D70" s="8"/>
      <c r="E70" s="8"/>
      <c r="F70" s="8"/>
      <c r="G70" s="8"/>
      <c r="H70" s="8"/>
      <c r="I70" s="8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</row>
    <row r="71" spans="1:49" x14ac:dyDescent="0.25">
      <c r="A71" s="108" t="s">
        <v>91</v>
      </c>
      <c r="B71" s="104"/>
      <c r="C71" s="8"/>
      <c r="D71" s="8"/>
      <c r="E71" s="8"/>
      <c r="F71" s="8"/>
      <c r="G71" s="8"/>
      <c r="H71" s="8"/>
      <c r="I71" s="8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</row>
    <row r="72" spans="1:49" ht="15.75" thickBot="1" x14ac:dyDescent="0.3">
      <c r="A72" s="108" t="s">
        <v>92</v>
      </c>
      <c r="B72" s="104"/>
      <c r="C72" s="8"/>
      <c r="D72" s="8"/>
      <c r="E72" s="8"/>
      <c r="F72" s="8"/>
      <c r="G72" s="8"/>
      <c r="H72" s="8"/>
      <c r="I72" s="8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</row>
    <row r="73" spans="1:49" x14ac:dyDescent="0.25">
      <c r="A73" s="436" t="s">
        <v>19</v>
      </c>
      <c r="B73" s="438" t="s">
        <v>20</v>
      </c>
      <c r="C73" s="440" t="s">
        <v>139</v>
      </c>
      <c r="D73" s="441"/>
      <c r="E73" s="441"/>
      <c r="F73" s="442"/>
      <c r="G73" s="433" t="s">
        <v>140</v>
      </c>
      <c r="H73" s="431"/>
      <c r="I73" s="431"/>
      <c r="J73" s="432"/>
      <c r="K73" s="433" t="s">
        <v>141</v>
      </c>
      <c r="L73" s="431"/>
      <c r="M73" s="431"/>
      <c r="N73" s="43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</row>
    <row r="74" spans="1:49" ht="15.75" thickBot="1" x14ac:dyDescent="0.3">
      <c r="A74" s="437"/>
      <c r="B74" s="439"/>
      <c r="C74" s="154">
        <v>1</v>
      </c>
      <c r="D74" s="155">
        <v>2</v>
      </c>
      <c r="E74" s="155">
        <v>3</v>
      </c>
      <c r="F74" s="156">
        <v>4</v>
      </c>
      <c r="G74" s="51" t="s">
        <v>0</v>
      </c>
      <c r="H74" s="43" t="s">
        <v>1</v>
      </c>
      <c r="I74" s="43" t="s">
        <v>2</v>
      </c>
      <c r="J74" s="44" t="s">
        <v>3</v>
      </c>
      <c r="K74" s="51" t="s">
        <v>0</v>
      </c>
      <c r="L74" s="43" t="s">
        <v>1</v>
      </c>
      <c r="M74" s="43" t="s">
        <v>2</v>
      </c>
      <c r="N74" s="44" t="s">
        <v>3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</row>
    <row r="75" spans="1:49" x14ac:dyDescent="0.25">
      <c r="A75" s="185" t="s">
        <v>21</v>
      </c>
      <c r="B75" s="186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8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</row>
    <row r="76" spans="1:49" x14ac:dyDescent="0.25">
      <c r="A76" s="83" t="s">
        <v>22</v>
      </c>
      <c r="B76" s="147" t="s">
        <v>98</v>
      </c>
      <c r="C76" s="142">
        <f>'2. Прогноз. Без корректировки'!C15</f>
        <v>1.8</v>
      </c>
      <c r="D76" s="143">
        <f>'2. Прогноз. Без корректировки'!D15</f>
        <v>2.7</v>
      </c>
      <c r="E76" s="143">
        <f>'2. Прогноз. Без корректировки'!E15</f>
        <v>1.2</v>
      </c>
      <c r="F76" s="144">
        <f>'2. Прогноз. Без корректировки'!F15</f>
        <v>2.2999999999999998</v>
      </c>
      <c r="G76" s="142">
        <f>'2. Прогноз. Без корректировки'!H15</f>
        <v>2.4</v>
      </c>
      <c r="H76" s="143">
        <f>'2. Прогноз. Без корректировки'!I15</f>
        <v>3.3</v>
      </c>
      <c r="I76" s="143">
        <f>'2. Прогноз. Без корректировки'!J15</f>
        <v>1.8</v>
      </c>
      <c r="J76" s="144">
        <f>'2. Прогноз. Без корректировки'!K15</f>
        <v>4.0999999999999996</v>
      </c>
      <c r="K76" s="142">
        <f>'2. Прогноз. Без корректировки'!M15</f>
        <v>2.4</v>
      </c>
      <c r="L76" s="143">
        <f>'2. Прогноз. Без корректировки'!N15</f>
        <v>3.45</v>
      </c>
      <c r="M76" s="143">
        <f>'2. Прогноз. Без корректировки'!O15</f>
        <v>1.8</v>
      </c>
      <c r="N76" s="144">
        <f>'2. Прогноз. Без корректировки'!P15</f>
        <v>4.0999999999999996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</row>
    <row r="77" spans="1:49" x14ac:dyDescent="0.25">
      <c r="A77" s="83" t="s">
        <v>23</v>
      </c>
      <c r="B77" s="148" t="s">
        <v>98</v>
      </c>
      <c r="C77" s="128">
        <f>'2. Прогноз. Без корректировки'!C24</f>
        <v>40</v>
      </c>
      <c r="D77" s="119">
        <f>'2. Прогноз. Без корректировки'!D24</f>
        <v>37</v>
      </c>
      <c r="E77" s="119">
        <f>'2. Прогноз. Без корректировки'!E24</f>
        <v>33</v>
      </c>
      <c r="F77" s="129">
        <f>'2. Прогноз. Без корректировки'!F24</f>
        <v>49.5</v>
      </c>
      <c r="G77" s="128">
        <f>'2. Прогноз. Без корректировки'!H24</f>
        <v>40</v>
      </c>
      <c r="H77" s="119">
        <f>'2. Прогноз. Без корректировки'!I24</f>
        <v>37</v>
      </c>
      <c r="I77" s="119">
        <f>'2. Прогноз. Без корректировки'!J24</f>
        <v>33</v>
      </c>
      <c r="J77" s="129">
        <f>'2. Прогноз. Без корректировки'!K24</f>
        <v>49.5</v>
      </c>
      <c r="K77" s="128">
        <f>'2. Прогноз. Без корректировки'!M24</f>
        <v>40</v>
      </c>
      <c r="L77" s="119">
        <f>'2. Прогноз. Без корректировки'!N24</f>
        <v>37</v>
      </c>
      <c r="M77" s="119">
        <f>'2. Прогноз. Без корректировки'!O24</f>
        <v>33</v>
      </c>
      <c r="N77" s="129">
        <f>'2. Прогноз. Без корректировки'!P24</f>
        <v>49.67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</row>
    <row r="78" spans="1:49" s="11" customFormat="1" ht="15.75" customHeight="1" x14ac:dyDescent="0.25">
      <c r="A78" s="83" t="s">
        <v>24</v>
      </c>
      <c r="B78" s="148" t="s">
        <v>98</v>
      </c>
      <c r="C78" s="128">
        <f>'2. Прогноз. Без корректировки'!C31</f>
        <v>6.4790000000000001</v>
      </c>
      <c r="D78" s="119">
        <f>'2. Прогноз. Без корректировки'!D31+C92</f>
        <v>0.56100000000000005</v>
      </c>
      <c r="E78" s="119">
        <f>'2. Прогноз. Без корректировки'!E31+D92</f>
        <v>3.41</v>
      </c>
      <c r="F78" s="129">
        <f>'2. Прогноз. Без корректировки'!F31+E92</f>
        <v>11.956</v>
      </c>
      <c r="G78" s="128">
        <f>'2. Прогноз. Без корректировки'!H31+F92</f>
        <v>6.2960000000000003</v>
      </c>
      <c r="H78" s="119">
        <f>'2. Прогноз. Без корректировки'!I31+G92</f>
        <v>0.14600000000000021</v>
      </c>
      <c r="I78" s="119">
        <f>'2. Прогноз. Без корректировки'!J31+H92</f>
        <v>3.1459999999999999</v>
      </c>
      <c r="J78" s="129">
        <f>'2. Прогноз. Без корректировки'!K31+I92</f>
        <v>11.977</v>
      </c>
      <c r="K78" s="128">
        <f>'2. Прогноз. Без корректировки'!M31+J92</f>
        <v>6.3159999999999998</v>
      </c>
      <c r="L78" s="119">
        <f>'2. Прогноз. Без корректировки'!N31+K92</f>
        <v>0.316</v>
      </c>
      <c r="M78" s="119">
        <f>'2. Прогноз. Без корректировки'!O31+L92</f>
        <v>3.1459999999999999</v>
      </c>
      <c r="N78" s="129">
        <f>'2. Прогноз. Без корректировки'!P31+M92</f>
        <v>11.977</v>
      </c>
      <c r="O78" s="375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</row>
    <row r="79" spans="1:49" ht="13.5" customHeight="1" x14ac:dyDescent="0.25">
      <c r="A79" s="84" t="s">
        <v>25</v>
      </c>
      <c r="B79" s="145" t="s">
        <v>98</v>
      </c>
      <c r="C79" s="157">
        <f>(MIN(D46,I46,N46,S46,X46,AC46,AH46))</f>
        <v>3.6</v>
      </c>
      <c r="D79" s="158">
        <f>(MIN(E46,J46,O46,T46,Y46,AD46,AI46))</f>
        <v>0.76500000000000001</v>
      </c>
      <c r="E79" s="158">
        <f>(MIN(F46,K46,P46,U46,Z46,AE46,AJ46))</f>
        <v>0.90200000000000002</v>
      </c>
      <c r="F79" s="159">
        <f>(MIN(G46,L46,Q46,V46,AA46,AF46,AK46))</f>
        <v>3.6</v>
      </c>
      <c r="G79" s="157">
        <f>(MIN(D46,I46,N46,S46,X46,AC46,AH46))</f>
        <v>3.6</v>
      </c>
      <c r="H79" s="158">
        <f>(MIN(E46,J46,O46,T46,Y46,AD46,AI46))</f>
        <v>0.76500000000000001</v>
      </c>
      <c r="I79" s="158">
        <f>(MIN(F46,K46,P46,U46,Z46,AE46,AJ46))</f>
        <v>0.90200000000000002</v>
      </c>
      <c r="J79" s="242">
        <f>(MIN(G46,L46,Q46,V46,AA46,AF46,AK46))</f>
        <v>3.6</v>
      </c>
      <c r="K79" s="244">
        <f>(MIN(D46,I46,N46,S46,X46,AC46,AH46))</f>
        <v>3.6</v>
      </c>
      <c r="L79" s="243">
        <f>(MIN(E46,J46,O46,T46,Y46,AD46,AI46))</f>
        <v>0.76500000000000001</v>
      </c>
      <c r="M79" s="243">
        <f>(MIN(F46,K46,P46,U46,Z46,AE46,AJ46))</f>
        <v>0.90200000000000002</v>
      </c>
      <c r="N79" s="245">
        <f>(MIN(G46,L46,Q46,V46,AA46,AF46,AK46))</f>
        <v>3.6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</row>
    <row r="80" spans="1:49" x14ac:dyDescent="0.25">
      <c r="A80" s="85" t="s">
        <v>26</v>
      </c>
      <c r="B80" s="189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3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49" ht="60" x14ac:dyDescent="0.25">
      <c r="A81" s="127" t="s">
        <v>27</v>
      </c>
      <c r="B81" s="149" t="s">
        <v>98</v>
      </c>
      <c r="C81" s="142">
        <f>IF(C78&lt;C79,-(C78-C79),0)</f>
        <v>0</v>
      </c>
      <c r="D81" s="143">
        <f t="shared" ref="D81:N81" si="12">IF(D78&lt;D79,-(D78-D79),0)</f>
        <v>0.20399999999999996</v>
      </c>
      <c r="E81" s="143">
        <f t="shared" si="12"/>
        <v>0</v>
      </c>
      <c r="F81" s="144">
        <f t="shared" si="12"/>
        <v>0</v>
      </c>
      <c r="G81" s="142">
        <f t="shared" si="12"/>
        <v>0</v>
      </c>
      <c r="H81" s="143">
        <f t="shared" si="12"/>
        <v>0.61899999999999977</v>
      </c>
      <c r="I81" s="143">
        <f t="shared" si="12"/>
        <v>0</v>
      </c>
      <c r="J81" s="144">
        <f t="shared" si="12"/>
        <v>0</v>
      </c>
      <c r="K81" s="142">
        <f t="shared" si="12"/>
        <v>0</v>
      </c>
      <c r="L81" s="143">
        <f t="shared" si="12"/>
        <v>0.44900000000000001</v>
      </c>
      <c r="M81" s="143">
        <f t="shared" si="12"/>
        <v>0</v>
      </c>
      <c r="N81" s="160">
        <f t="shared" si="12"/>
        <v>0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</row>
    <row r="82" spans="1:49" ht="30" x14ac:dyDescent="0.25">
      <c r="A82" s="127" t="s">
        <v>74</v>
      </c>
      <c r="B82" s="149" t="s">
        <v>98</v>
      </c>
      <c r="C82" s="128">
        <f t="shared" ref="C82:N82" si="13">IF(C78&gt;C79,C78-C79,0)</f>
        <v>2.879</v>
      </c>
      <c r="D82" s="119">
        <f t="shared" si="13"/>
        <v>0</v>
      </c>
      <c r="E82" s="119">
        <f t="shared" si="13"/>
        <v>2.508</v>
      </c>
      <c r="F82" s="129">
        <f t="shared" si="13"/>
        <v>8.3559999999999999</v>
      </c>
      <c r="G82" s="128">
        <f t="shared" si="13"/>
        <v>2.6960000000000002</v>
      </c>
      <c r="H82" s="119">
        <f t="shared" si="13"/>
        <v>0</v>
      </c>
      <c r="I82" s="119">
        <f t="shared" si="13"/>
        <v>2.2439999999999998</v>
      </c>
      <c r="J82" s="129">
        <f t="shared" si="13"/>
        <v>8.3770000000000007</v>
      </c>
      <c r="K82" s="128">
        <f t="shared" si="13"/>
        <v>2.7159999999999997</v>
      </c>
      <c r="L82" s="119">
        <f>IF(L78&gt;L79,L78-L79,0)</f>
        <v>0</v>
      </c>
      <c r="M82" s="119">
        <f>IF(M78&gt;M79,M78-M79,0)</f>
        <v>2.2439999999999998</v>
      </c>
      <c r="N82" s="129">
        <f t="shared" si="13"/>
        <v>8.3770000000000007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</row>
    <row r="83" spans="1:49" x14ac:dyDescent="0.25">
      <c r="A83" s="86" t="s">
        <v>75</v>
      </c>
      <c r="B83" s="148" t="s">
        <v>98</v>
      </c>
      <c r="C83" s="128">
        <f>-MIN(C76,C82,0)</f>
        <v>0</v>
      </c>
      <c r="D83" s="119">
        <f>-MIN(D76,D82,C90)</f>
        <v>0</v>
      </c>
      <c r="E83" s="119">
        <f>-MIN(E76,E82,D90)</f>
        <v>-0.10200000000000298</v>
      </c>
      <c r="F83" s="129">
        <f>-MIN(F76,F82,E90)</f>
        <v>0</v>
      </c>
      <c r="G83" s="128">
        <f>-MIN(G76,G82,0)</f>
        <v>0</v>
      </c>
      <c r="H83" s="119">
        <f>-MIN(H76,H82,G90)</f>
        <v>0</v>
      </c>
      <c r="I83" s="119">
        <f>-MIN(I76,I82,H90)</f>
        <v>-0.30949999999999989</v>
      </c>
      <c r="J83" s="129">
        <f>-MIN(J76,J82,I90)</f>
        <v>0</v>
      </c>
      <c r="K83" s="128">
        <f>-MIN(K76,K82,0)</f>
        <v>0</v>
      </c>
      <c r="L83" s="119">
        <f>-MIN(L76,L82,K90)</f>
        <v>0</v>
      </c>
      <c r="M83" s="119">
        <f>-MIN(M76,M82,L90)</f>
        <v>-0.22450000000000081</v>
      </c>
      <c r="N83" s="129">
        <f>-MIN(N76,N82,M90)</f>
        <v>0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x14ac:dyDescent="0.25">
      <c r="A84" s="86" t="s">
        <v>76</v>
      </c>
      <c r="B84" s="148" t="s">
        <v>98</v>
      </c>
      <c r="C84" s="161">
        <f>MIN(C82+C83,0)</f>
        <v>0</v>
      </c>
      <c r="D84" s="162">
        <f>MIN(D82+D83,-C91)</f>
        <v>0</v>
      </c>
      <c r="E84" s="162">
        <f>MIN(E82+E83,-D91)</f>
        <v>0.10199999999999676</v>
      </c>
      <c r="F84" s="163">
        <f>MIN(F82+F83,-E91)</f>
        <v>0</v>
      </c>
      <c r="G84" s="161">
        <f>MIN(G82+G83,0)</f>
        <v>0</v>
      </c>
      <c r="H84" s="162">
        <f>MIN(H82+H83,-G91)</f>
        <v>0</v>
      </c>
      <c r="I84" s="162">
        <f>MIN(I82+I83,-H91)</f>
        <v>0.30949999999999989</v>
      </c>
      <c r="J84" s="163">
        <f>MIN(J82+J83,-I91)</f>
        <v>0</v>
      </c>
      <c r="K84" s="161">
        <f>MIN(K82+K83,0)</f>
        <v>0</v>
      </c>
      <c r="L84" s="162">
        <f>MIN(L82+L83,-K91)</f>
        <v>0</v>
      </c>
      <c r="M84" s="162">
        <f>MIN(M82+M83,-L91)</f>
        <v>0.22449999999999903</v>
      </c>
      <c r="N84" s="163">
        <f>MIN(N82+N83,-M91)</f>
        <v>0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</row>
    <row r="85" spans="1:49" x14ac:dyDescent="0.25">
      <c r="A85" s="85" t="s">
        <v>28</v>
      </c>
      <c r="B85" s="189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5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</row>
    <row r="86" spans="1:49" x14ac:dyDescent="0.25">
      <c r="A86" s="83" t="s">
        <v>29</v>
      </c>
      <c r="B86" s="148" t="s">
        <v>98</v>
      </c>
      <c r="C86" s="164">
        <f t="shared" ref="C86:N86" si="14">C76+C81-(C77-(C87-C84))+C83</f>
        <v>1.8</v>
      </c>
      <c r="D86" s="165">
        <f t="shared" si="14"/>
        <v>2.8020000000000032</v>
      </c>
      <c r="E86" s="165">
        <f t="shared" si="14"/>
        <v>1.097999999999997</v>
      </c>
      <c r="F86" s="166">
        <f t="shared" si="14"/>
        <v>2.2999999999999998</v>
      </c>
      <c r="G86" s="164">
        <f t="shared" si="14"/>
        <v>2.4</v>
      </c>
      <c r="H86" s="165">
        <f t="shared" si="14"/>
        <v>3.6094999999999997</v>
      </c>
      <c r="I86" s="153">
        <f>I76+I81-(I77-(I87-I84))+I83</f>
        <v>1.4905000000000002</v>
      </c>
      <c r="J86" s="166">
        <f t="shared" si="14"/>
        <v>4.0999999999999996</v>
      </c>
      <c r="K86" s="164">
        <f t="shared" si="14"/>
        <v>2.4</v>
      </c>
      <c r="L86" s="165">
        <f>L76+L81-(L77-(L87-L84))+L83</f>
        <v>3.674500000000001</v>
      </c>
      <c r="M86" s="165">
        <f>M76+M81-(M77-(M87-M84))+M83</f>
        <v>1.5754999999999992</v>
      </c>
      <c r="N86" s="167">
        <f t="shared" si="14"/>
        <v>4.0999999999999996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</row>
    <row r="87" spans="1:49" x14ac:dyDescent="0.25">
      <c r="A87" s="83" t="s">
        <v>30</v>
      </c>
      <c r="B87" s="148" t="s">
        <v>98</v>
      </c>
      <c r="C87" s="131">
        <f t="shared" ref="C87:N87" si="15">IF(C77&gt;=0.5*C81,C77-0.5*C81,0)+C84</f>
        <v>40</v>
      </c>
      <c r="D87" s="132">
        <f t="shared" si="15"/>
        <v>36.898000000000003</v>
      </c>
      <c r="E87" s="132">
        <f t="shared" si="15"/>
        <v>33.101999999999997</v>
      </c>
      <c r="F87" s="133">
        <f t="shared" si="15"/>
        <v>49.5</v>
      </c>
      <c r="G87" s="131">
        <f t="shared" si="15"/>
        <v>40</v>
      </c>
      <c r="H87" s="132">
        <f t="shared" si="15"/>
        <v>36.6905</v>
      </c>
      <c r="I87" s="132">
        <f t="shared" si="15"/>
        <v>33.3095</v>
      </c>
      <c r="J87" s="166">
        <f t="shared" si="15"/>
        <v>49.5</v>
      </c>
      <c r="K87" s="131">
        <f>IF(K77&gt;=0.5*K81,K77-0.5*K81,0)+K84</f>
        <v>40</v>
      </c>
      <c r="L87" s="132">
        <f>IF(L77&gt;=0.5*L81,L77-0.5*L81,0)+L84</f>
        <v>36.775500000000001</v>
      </c>
      <c r="M87" s="132">
        <f>IF(M77&gt;=0.5*M81,M77-0.5*M81,0)+M84</f>
        <v>33.224499999999999</v>
      </c>
      <c r="N87" s="133">
        <f t="shared" si="15"/>
        <v>49.67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</row>
    <row r="88" spans="1:49" x14ac:dyDescent="0.25">
      <c r="A88" s="83" t="s">
        <v>31</v>
      </c>
      <c r="B88" s="148" t="s">
        <v>98</v>
      </c>
      <c r="C88" s="161">
        <f t="shared" ref="C88:N88" si="16">C78+C81-C84+C83</f>
        <v>6.4790000000000001</v>
      </c>
      <c r="D88" s="162">
        <f t="shared" si="16"/>
        <v>0.76500000000000001</v>
      </c>
      <c r="E88" s="162">
        <f t="shared" si="16"/>
        <v>3.2060000000000004</v>
      </c>
      <c r="F88" s="163">
        <f t="shared" si="16"/>
        <v>11.956</v>
      </c>
      <c r="G88" s="161">
        <f t="shared" si="16"/>
        <v>6.2960000000000003</v>
      </c>
      <c r="H88" s="162">
        <f t="shared" si="16"/>
        <v>0.76500000000000001</v>
      </c>
      <c r="I88" s="162">
        <f t="shared" si="16"/>
        <v>2.5270000000000001</v>
      </c>
      <c r="J88" s="163">
        <f t="shared" si="16"/>
        <v>11.977</v>
      </c>
      <c r="K88" s="161">
        <f t="shared" si="16"/>
        <v>6.3159999999999998</v>
      </c>
      <c r="L88" s="162">
        <f>L78+L81-L84+L83</f>
        <v>0.76500000000000001</v>
      </c>
      <c r="M88" s="162">
        <f>M78+M81-M84+M83</f>
        <v>2.6970000000000001</v>
      </c>
      <c r="N88" s="163">
        <f t="shared" si="16"/>
        <v>11.977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</row>
    <row r="89" spans="1:49" x14ac:dyDescent="0.25">
      <c r="A89" s="230" t="s">
        <v>32</v>
      </c>
      <c r="B89" s="200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5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</row>
    <row r="90" spans="1:49" x14ac:dyDescent="0.25">
      <c r="A90" s="83" t="s">
        <v>33</v>
      </c>
      <c r="B90" s="148" t="s">
        <v>98</v>
      </c>
      <c r="C90" s="142">
        <f>C86-C76</f>
        <v>0</v>
      </c>
      <c r="D90" s="143">
        <f t="shared" ref="D90:F92" si="17">D86-D76+C90</f>
        <v>0.10200000000000298</v>
      </c>
      <c r="E90" s="143">
        <f t="shared" si="17"/>
        <v>0</v>
      </c>
      <c r="F90" s="144">
        <f t="shared" si="17"/>
        <v>0</v>
      </c>
      <c r="G90" s="142">
        <f>G86-G76</f>
        <v>0</v>
      </c>
      <c r="H90" s="143">
        <f t="shared" ref="H90:L92" si="18">H86-H76+G90</f>
        <v>0.30949999999999989</v>
      </c>
      <c r="I90" s="143">
        <f t="shared" si="18"/>
        <v>0</v>
      </c>
      <c r="J90" s="144">
        <f t="shared" si="18"/>
        <v>0</v>
      </c>
      <c r="K90" s="142">
        <f>K86-K76</f>
        <v>0</v>
      </c>
      <c r="L90" s="143">
        <f t="shared" si="18"/>
        <v>0.22450000000000081</v>
      </c>
      <c r="M90" s="143">
        <f t="shared" ref="M90:N92" si="19">M86-M76+L90</f>
        <v>0</v>
      </c>
      <c r="N90" s="144">
        <f t="shared" si="19"/>
        <v>0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</row>
    <row r="91" spans="1:49" x14ac:dyDescent="0.25">
      <c r="A91" s="83" t="s">
        <v>34</v>
      </c>
      <c r="B91" s="148" t="s">
        <v>98</v>
      </c>
      <c r="C91" s="128">
        <f>C87-C77</f>
        <v>0</v>
      </c>
      <c r="D91" s="119">
        <f t="shared" si="17"/>
        <v>-0.10199999999999676</v>
      </c>
      <c r="E91" s="119">
        <f t="shared" si="17"/>
        <v>0</v>
      </c>
      <c r="F91" s="129">
        <f t="shared" si="17"/>
        <v>0</v>
      </c>
      <c r="G91" s="128">
        <f>G87-G77</f>
        <v>0</v>
      </c>
      <c r="H91" s="119">
        <f t="shared" si="18"/>
        <v>-0.30949999999999989</v>
      </c>
      <c r="I91" s="119">
        <f t="shared" si="18"/>
        <v>0</v>
      </c>
      <c r="J91" s="129">
        <f t="shared" si="18"/>
        <v>0</v>
      </c>
      <c r="K91" s="128">
        <f>K87-K77</f>
        <v>0</v>
      </c>
      <c r="L91" s="119">
        <f t="shared" si="18"/>
        <v>-0.22449999999999903</v>
      </c>
      <c r="M91" s="119">
        <f t="shared" si="19"/>
        <v>0</v>
      </c>
      <c r="N91" s="129">
        <f t="shared" si="19"/>
        <v>0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</row>
    <row r="92" spans="1:49" ht="15.75" thickBot="1" x14ac:dyDescent="0.3">
      <c r="A92" s="87" t="s">
        <v>35</v>
      </c>
      <c r="B92" s="150" t="s">
        <v>98</v>
      </c>
      <c r="C92" s="168">
        <f>C88-C78</f>
        <v>0</v>
      </c>
      <c r="D92" s="169">
        <f t="shared" si="17"/>
        <v>0.20399999999999996</v>
      </c>
      <c r="E92" s="169">
        <f t="shared" si="17"/>
        <v>2.2204460492503131E-16</v>
      </c>
      <c r="F92" s="170">
        <f t="shared" si="17"/>
        <v>2.2204460492503131E-16</v>
      </c>
      <c r="G92" s="134">
        <f>G88-G78+F92</f>
        <v>2.2204460492503131E-16</v>
      </c>
      <c r="H92" s="135">
        <f t="shared" si="18"/>
        <v>0.61899999999999999</v>
      </c>
      <c r="I92" s="135">
        <f t="shared" si="18"/>
        <v>0</v>
      </c>
      <c r="J92" s="136">
        <f t="shared" si="18"/>
        <v>0</v>
      </c>
      <c r="K92" s="134">
        <f>K88-K78+J92</f>
        <v>0</v>
      </c>
      <c r="L92" s="135">
        <f t="shared" si="18"/>
        <v>0.44900000000000001</v>
      </c>
      <c r="M92" s="135">
        <f>M88-M78+L92</f>
        <v>0</v>
      </c>
      <c r="N92" s="136">
        <f t="shared" si="19"/>
        <v>0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</row>
    <row r="94" spans="1:49" x14ac:dyDescent="0.25">
      <c r="D94" s="2"/>
    </row>
    <row r="451" spans="3:52" x14ac:dyDescent="0.25">
      <c r="C451" s="4">
        <v>20</v>
      </c>
      <c r="D451" s="4">
        <v>21</v>
      </c>
      <c r="E451" s="4">
        <v>22</v>
      </c>
      <c r="F451" s="4">
        <v>23</v>
      </c>
      <c r="G451" s="4">
        <v>24</v>
      </c>
      <c r="H451" s="4">
        <v>25</v>
      </c>
      <c r="I451" s="4">
        <v>26</v>
      </c>
      <c r="J451" s="4">
        <v>27</v>
      </c>
      <c r="K451" s="4">
        <v>28</v>
      </c>
      <c r="L451" s="4">
        <v>29</v>
      </c>
      <c r="M451" s="4">
        <v>30</v>
      </c>
      <c r="N451" s="4">
        <v>31</v>
      </c>
      <c r="O451" s="4">
        <v>32</v>
      </c>
      <c r="P451" s="4">
        <v>33</v>
      </c>
      <c r="Q451" s="4">
        <v>34</v>
      </c>
      <c r="R451" s="4">
        <v>35</v>
      </c>
      <c r="S451" s="4">
        <v>36</v>
      </c>
      <c r="T451" s="4">
        <v>37</v>
      </c>
      <c r="U451" s="4">
        <v>38</v>
      </c>
      <c r="V451" s="4">
        <v>39</v>
      </c>
      <c r="W451" s="4">
        <v>40</v>
      </c>
      <c r="X451" s="4">
        <v>41</v>
      </c>
      <c r="AY451" t="s">
        <v>52</v>
      </c>
      <c r="AZ451" t="s">
        <v>51</v>
      </c>
    </row>
  </sheetData>
  <sheetProtection algorithmName="SHA-512" hashValue="KjHHCT+c2W5z0A37eJEBCAB/LzqJYlBcjrrkQvnwbX5+cxeUaEhqMVwXlSLLkyVhIyTxQ3HSdhG4BbNdRcZj3Q==" saltValue="mIdiUar9hA+Rz/gsX86hFg==" spinCount="100000" sheet="1" objects="1" scenarios="1"/>
  <mergeCells count="34">
    <mergeCell ref="A23:A24"/>
    <mergeCell ref="A44:A45"/>
    <mergeCell ref="B44:B45"/>
    <mergeCell ref="C44:C45"/>
    <mergeCell ref="D44:G44"/>
    <mergeCell ref="B23:B24"/>
    <mergeCell ref="D23:G23"/>
    <mergeCell ref="C23:C24"/>
    <mergeCell ref="A52:A53"/>
    <mergeCell ref="B52:B53"/>
    <mergeCell ref="C52:C53"/>
    <mergeCell ref="D52:G52"/>
    <mergeCell ref="S44:V44"/>
    <mergeCell ref="R44:R45"/>
    <mergeCell ref="H52:H53"/>
    <mergeCell ref="I44:L44"/>
    <mergeCell ref="M44:M45"/>
    <mergeCell ref="N44:Q44"/>
    <mergeCell ref="H44:H45"/>
    <mergeCell ref="A73:A74"/>
    <mergeCell ref="B73:B74"/>
    <mergeCell ref="C73:F73"/>
    <mergeCell ref="G73:J73"/>
    <mergeCell ref="K73:N73"/>
    <mergeCell ref="AH44:AK44"/>
    <mergeCell ref="X44:AA44"/>
    <mergeCell ref="AB44:AB45"/>
    <mergeCell ref="AC44:AF44"/>
    <mergeCell ref="AG44:AG45"/>
    <mergeCell ref="W44:W45"/>
    <mergeCell ref="M23:M24"/>
    <mergeCell ref="N23:Q23"/>
    <mergeCell ref="I23:L23"/>
    <mergeCell ref="H23:H24"/>
  </mergeCells>
  <phoneticPr fontId="18" type="noConversion"/>
  <dataValidations count="6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0:E10 C14:E17 C19:E20">
      <formula1>-1000000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M30 C30 H30 C63:H63 D54:G56 D25:D35 N26:Q35 I26:L35 E26:G35">
      <formula1>-1000000000</formula1>
    </dataValidation>
    <dataValidation type="decimal" operator="greaterThan" allowBlank="1" showInputMessage="1" showErrorMessage="1" sqref="D46:G46">
      <formula1>-10000000000000</formula1>
    </dataValidation>
    <dataValidation type="decimal" operator="greaterThan" allowBlank="1" showInputMessage="1" showErrorMessage="1" sqref="I46:L46 N46:Q46">
      <formula1>-100000000</formula1>
    </dataValidation>
    <dataValidation type="decimal" operator="greaterThan" allowBlank="1" showInputMessage="1" showErrorMessage="1" sqref="S46:V46">
      <formula1>-1000000000</formula1>
    </dataValidation>
  </dataValidations>
  <pageMargins left="0.7" right="0.7" top="0.75" bottom="0.75" header="0.3" footer="0.3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W161"/>
  <sheetViews>
    <sheetView showGridLines="0" zoomScale="96" zoomScaleNormal="96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31" sqref="S31"/>
    </sheetView>
  </sheetViews>
  <sheetFormatPr defaultColWidth="8.5703125" defaultRowHeight="15" outlineLevelRow="1" outlineLevelCol="1" x14ac:dyDescent="0.25"/>
  <cols>
    <col min="1" max="1" width="56.28515625" style="9" customWidth="1"/>
    <col min="2" max="2" width="10.5703125" style="18" customWidth="1"/>
    <col min="3" max="6" width="13.7109375" style="18" customWidth="1" outlineLevel="1"/>
    <col min="7" max="7" width="13.7109375" style="18" customWidth="1"/>
    <col min="8" max="11" width="13.7109375" style="18" customWidth="1" outlineLevel="1"/>
    <col min="12" max="12" width="13.7109375" style="18" customWidth="1"/>
    <col min="13" max="16" width="13.7109375" style="18" customWidth="1" outlineLevel="1"/>
    <col min="17" max="17" width="13.7109375" style="18" customWidth="1"/>
    <col min="18" max="18" width="9.42578125" customWidth="1"/>
    <col min="19" max="19" width="35.28515625" customWidth="1"/>
    <col min="20" max="20" width="10.42578125" customWidth="1"/>
  </cols>
  <sheetData>
    <row r="1" spans="1:23" ht="15" customHeight="1" x14ac:dyDescent="0.25">
      <c r="A1" s="13"/>
      <c r="B1" s="14" t="s">
        <v>10</v>
      </c>
      <c r="R1" s="4"/>
    </row>
    <row r="2" spans="1:23" ht="15" customHeight="1" x14ac:dyDescent="0.25">
      <c r="A2" s="12" t="s">
        <v>9</v>
      </c>
      <c r="B2" s="33"/>
    </row>
    <row r="3" spans="1:23" ht="15" customHeight="1" x14ac:dyDescent="0.25">
      <c r="A3" s="69" t="s">
        <v>84</v>
      </c>
      <c r="B3" s="120"/>
    </row>
    <row r="4" spans="1:23" ht="15" customHeight="1" x14ac:dyDescent="0.25">
      <c r="A4" s="12" t="s">
        <v>48</v>
      </c>
      <c r="B4" s="35"/>
    </row>
    <row r="5" spans="1:23" ht="15" customHeight="1" x14ac:dyDescent="0.25">
      <c r="A5" s="126" t="s">
        <v>49</v>
      </c>
      <c r="B5" s="257"/>
      <c r="E5" s="32"/>
      <c r="F5" s="32"/>
      <c r="L5" s="32"/>
      <c r="R5" s="47"/>
      <c r="S5" s="47"/>
      <c r="T5" s="47"/>
      <c r="U5" s="47"/>
      <c r="V5" s="47"/>
      <c r="W5" s="47"/>
    </row>
    <row r="6" spans="1:23" ht="15" customHeight="1" thickBot="1" x14ac:dyDescent="0.3">
      <c r="R6" s="47"/>
      <c r="S6" s="47"/>
      <c r="T6" s="47"/>
      <c r="U6" s="47"/>
      <c r="V6" s="47"/>
      <c r="W6" s="47"/>
    </row>
    <row r="7" spans="1:23" ht="15" customHeight="1" x14ac:dyDescent="0.25">
      <c r="A7" s="455" t="s">
        <v>15</v>
      </c>
      <c r="B7" s="457" t="s">
        <v>36</v>
      </c>
      <c r="C7" s="450" t="str">
        <f>YEAR(Test_date)&amp;" год"</f>
        <v>2020 год</v>
      </c>
      <c r="D7" s="451"/>
      <c r="E7" s="451"/>
      <c r="F7" s="452"/>
      <c r="G7" s="453" t="str">
        <f>C7</f>
        <v>2020 год</v>
      </c>
      <c r="H7" s="450" t="str">
        <f>(LEFT(C7,4)+1)&amp;" год"</f>
        <v>2021 год</v>
      </c>
      <c r="I7" s="451"/>
      <c r="J7" s="451"/>
      <c r="K7" s="452"/>
      <c r="L7" s="453" t="str">
        <f>H7</f>
        <v>2021 год</v>
      </c>
      <c r="M7" s="450" t="str">
        <f>(LEFT(H7,4)+1)&amp;" год"</f>
        <v>2022 год</v>
      </c>
      <c r="N7" s="451"/>
      <c r="O7" s="451"/>
      <c r="P7" s="452"/>
      <c r="Q7" s="453" t="str">
        <f>M7</f>
        <v>2022 год</v>
      </c>
      <c r="R7" s="47"/>
      <c r="S7" s="90"/>
      <c r="T7" s="90"/>
      <c r="U7" s="47"/>
      <c r="V7" s="47"/>
      <c r="W7" s="47"/>
    </row>
    <row r="8" spans="1:23" ht="15" customHeight="1" thickBot="1" x14ac:dyDescent="0.3">
      <c r="A8" s="456"/>
      <c r="B8" s="458"/>
      <c r="C8" s="350">
        <v>1</v>
      </c>
      <c r="D8" s="351">
        <v>2</v>
      </c>
      <c r="E8" s="351">
        <v>3</v>
      </c>
      <c r="F8" s="352">
        <v>4</v>
      </c>
      <c r="G8" s="454"/>
      <c r="H8" s="350">
        <v>1</v>
      </c>
      <c r="I8" s="351">
        <v>2</v>
      </c>
      <c r="J8" s="351">
        <v>3</v>
      </c>
      <c r="K8" s="352">
        <v>4</v>
      </c>
      <c r="L8" s="454"/>
      <c r="M8" s="350">
        <v>1</v>
      </c>
      <c r="N8" s="351">
        <v>2</v>
      </c>
      <c r="O8" s="351">
        <v>3</v>
      </c>
      <c r="P8" s="352">
        <v>4</v>
      </c>
      <c r="Q8" s="454"/>
      <c r="R8" s="47"/>
      <c r="S8" s="90"/>
      <c r="T8" s="90"/>
      <c r="U8" s="47"/>
      <c r="V8" s="47"/>
      <c r="W8" s="47"/>
    </row>
    <row r="9" spans="1:23" s="90" customFormat="1" ht="15" customHeight="1" x14ac:dyDescent="0.25">
      <c r="A9" s="258" t="s">
        <v>38</v>
      </c>
      <c r="B9" s="259" t="s">
        <v>98</v>
      </c>
      <c r="C9" s="260">
        <f>ROUND(G9,3)</f>
        <v>11.904</v>
      </c>
      <c r="D9" s="261">
        <f>ROUND(C31,3)</f>
        <v>6.4790000000000001</v>
      </c>
      <c r="E9" s="261">
        <f>ROUND(D31,3)</f>
        <v>0.56100000000000005</v>
      </c>
      <c r="F9" s="262">
        <f>ROUND(E31,3)</f>
        <v>3.206</v>
      </c>
      <c r="G9" s="263">
        <f>ROUND('1. Статистика'!AK46,3)</f>
        <v>11.904</v>
      </c>
      <c r="H9" s="260">
        <f>ROUND(L9,3)</f>
        <v>11.956</v>
      </c>
      <c r="I9" s="261">
        <f>ROUND(H31,3)</f>
        <v>6.2960000000000003</v>
      </c>
      <c r="J9" s="261">
        <f>ROUND(I31,3)</f>
        <v>0.14599999999999999</v>
      </c>
      <c r="K9" s="262">
        <f>ROUND(J31,3)</f>
        <v>2.5270000000000001</v>
      </c>
      <c r="L9" s="263">
        <f>ROUND(F31,3)</f>
        <v>11.956</v>
      </c>
      <c r="M9" s="260">
        <f>ROUND(Q9,3)</f>
        <v>11.977</v>
      </c>
      <c r="N9" s="261">
        <f>ROUND(M31,3)</f>
        <v>6.3159999999999998</v>
      </c>
      <c r="O9" s="261">
        <f>ROUND(N31,3)</f>
        <v>0.316</v>
      </c>
      <c r="P9" s="262">
        <f>ROUND(O31,3)</f>
        <v>2.6970000000000001</v>
      </c>
      <c r="Q9" s="263">
        <f>ROUND(K31,3)</f>
        <v>11.977</v>
      </c>
    </row>
    <row r="10" spans="1:23" s="11" customFormat="1" ht="15" customHeight="1" x14ac:dyDescent="0.25">
      <c r="A10" s="264" t="s">
        <v>81</v>
      </c>
      <c r="B10" s="265" t="s">
        <v>98</v>
      </c>
      <c r="C10" s="235">
        <f>ROUND('1. Статистика'!D54*$G$10,3)</f>
        <v>92.951999999999998</v>
      </c>
      <c r="D10" s="236">
        <f>ROUND(G10-(C10+E10+F10),3)</f>
        <v>92.549000000000007</v>
      </c>
      <c r="E10" s="236">
        <f>ROUND('1. Статистика'!F54*$G$10,3)</f>
        <v>96.185000000000002</v>
      </c>
      <c r="F10" s="236">
        <f>ROUND('1. Статистика'!G54*$G$10,3)</f>
        <v>122.45399999999999</v>
      </c>
      <c r="G10" s="121">
        <f>ROUND((G13*G14)/1000,3)</f>
        <v>404.14</v>
      </c>
      <c r="H10" s="235">
        <f>ROUND('1. Статистика'!D54*$L$10,3)</f>
        <v>92.117000000000004</v>
      </c>
      <c r="I10" s="236">
        <f>ROUND(L10-(H10+J10+K10),3)</f>
        <v>91.716999999999999</v>
      </c>
      <c r="J10" s="235">
        <f>ROUND('1. Статистика'!F54*$L$10,3)</f>
        <v>95.320999999999998</v>
      </c>
      <c r="K10" s="235">
        <f>ROUND('1. Статистика'!G54*$L$10,3)</f>
        <v>121.355</v>
      </c>
      <c r="L10" s="121">
        <f>ROUND((L13*L14)/1000,3)</f>
        <v>400.51</v>
      </c>
      <c r="M10" s="235">
        <f>ROUND('1. Статистика'!D54*$Q$10,3)</f>
        <v>92.117000000000004</v>
      </c>
      <c r="N10" s="236">
        <f>ROUND(Q10-(M10+O10+P10),3)</f>
        <v>91.716999999999999</v>
      </c>
      <c r="O10" s="235">
        <f>ROUND('1. Статистика'!F54*$Q$10,3)</f>
        <v>95.320999999999998</v>
      </c>
      <c r="P10" s="235">
        <f>ROUND('1. Статистика'!G54*$Q$10,3)</f>
        <v>121.355</v>
      </c>
      <c r="Q10" s="121">
        <f>ROUND((Q13*Q14)/1000,3)</f>
        <v>400.51</v>
      </c>
      <c r="R10" s="91"/>
      <c r="S10" s="91"/>
      <c r="T10" s="91"/>
      <c r="U10" s="91"/>
      <c r="V10" s="91"/>
      <c r="W10" s="91"/>
    </row>
    <row r="11" spans="1:23" s="11" customFormat="1" ht="15" customHeight="1" outlineLevel="1" x14ac:dyDescent="0.25">
      <c r="A11" s="427" t="s">
        <v>133</v>
      </c>
      <c r="B11" s="266" t="s">
        <v>98</v>
      </c>
      <c r="C11" s="267">
        <f>ROUND(C10-C12,3)</f>
        <v>92.911000000000001</v>
      </c>
      <c r="D11" s="267">
        <f>ROUND(D10-D12,3)</f>
        <v>92.486999999999995</v>
      </c>
      <c r="E11" s="267">
        <f>ROUND(E10-E12,3)</f>
        <v>96.128</v>
      </c>
      <c r="F11" s="267">
        <f>ROUND(F10-F12,3)</f>
        <v>122.41800000000001</v>
      </c>
      <c r="G11" s="268">
        <f>ROUND(SUM(C11:F11),3)</f>
        <v>403.94400000000002</v>
      </c>
      <c r="H11" s="267">
        <f>ROUND(H10-H12,3)</f>
        <v>92.075999999999993</v>
      </c>
      <c r="I11" s="267">
        <f>ROUND(I10-I12,3)</f>
        <v>91.655000000000001</v>
      </c>
      <c r="J11" s="267">
        <f>ROUND(J10-J12,3)</f>
        <v>95.263999999999996</v>
      </c>
      <c r="K11" s="267">
        <f>ROUND(K10-K12,3)</f>
        <v>121.319</v>
      </c>
      <c r="L11" s="268">
        <f>ROUND(SUM(H11:K11),3)</f>
        <v>400.31400000000002</v>
      </c>
      <c r="M11" s="267">
        <f>ROUND(M10-M12,3)</f>
        <v>92.075999999999993</v>
      </c>
      <c r="N11" s="267">
        <f>ROUND(N10-N12,3)</f>
        <v>91.655000000000001</v>
      </c>
      <c r="O11" s="267">
        <f>ROUND(O10-O12,3)</f>
        <v>95.263999999999996</v>
      </c>
      <c r="P11" s="267">
        <f>ROUND(P10-P12,3)</f>
        <v>121.319</v>
      </c>
      <c r="Q11" s="268">
        <f>ROUND(SUM(M11:P11),3)</f>
        <v>400.31400000000002</v>
      </c>
      <c r="R11" s="91"/>
      <c r="S11" s="91"/>
      <c r="T11" s="91"/>
      <c r="U11" s="91"/>
      <c r="V11" s="91"/>
      <c r="W11" s="91"/>
    </row>
    <row r="12" spans="1:23" s="11" customFormat="1" ht="15" customHeight="1" outlineLevel="1" x14ac:dyDescent="0.25">
      <c r="A12" s="427" t="s">
        <v>132</v>
      </c>
      <c r="B12" s="266" t="s">
        <v>98</v>
      </c>
      <c r="C12" s="276">
        <f>ROUND('1. Статистика'!N28,3)</f>
        <v>4.1000000000000002E-2</v>
      </c>
      <c r="D12" s="276">
        <f>ROUND('1. Статистика'!O28,3)</f>
        <v>6.2E-2</v>
      </c>
      <c r="E12" s="276">
        <f>ROUND('1. Статистика'!P28,3)</f>
        <v>5.7000000000000002E-2</v>
      </c>
      <c r="F12" s="276">
        <f>ROUND('1. Статистика'!Q28,3)</f>
        <v>3.5999999999999997E-2</v>
      </c>
      <c r="G12" s="268">
        <f>ROUND(SUM(C12:F12),3)</f>
        <v>0.19600000000000001</v>
      </c>
      <c r="H12" s="276">
        <f>ROUND(C12,3)</f>
        <v>4.1000000000000002E-2</v>
      </c>
      <c r="I12" s="276">
        <f>ROUND(D12,3)</f>
        <v>6.2E-2</v>
      </c>
      <c r="J12" s="276">
        <f>ROUND(E12,3)</f>
        <v>5.7000000000000002E-2</v>
      </c>
      <c r="K12" s="276">
        <f>ROUND(F12,3)</f>
        <v>3.5999999999999997E-2</v>
      </c>
      <c r="L12" s="268">
        <f>ROUND(SUM(H12:K12),3)</f>
        <v>0.19600000000000001</v>
      </c>
      <c r="M12" s="276">
        <f>ROUND(H12,3)</f>
        <v>4.1000000000000002E-2</v>
      </c>
      <c r="N12" s="276">
        <f>ROUND(I12,3)</f>
        <v>6.2E-2</v>
      </c>
      <c r="O12" s="276">
        <f>ROUND(J12,3)</f>
        <v>5.7000000000000002E-2</v>
      </c>
      <c r="P12" s="276">
        <f>ROUND(K12,3)</f>
        <v>3.5999999999999997E-2</v>
      </c>
      <c r="Q12" s="268">
        <f>ROUND(SUM(M12:P12),3)</f>
        <v>0.19600000000000001</v>
      </c>
      <c r="R12" s="91"/>
      <c r="S12" s="91"/>
      <c r="T12" s="91"/>
      <c r="U12" s="91"/>
      <c r="V12" s="91"/>
      <c r="W12" s="91"/>
    </row>
    <row r="13" spans="1:23" s="11" customFormat="1" ht="15" customHeight="1" outlineLevel="1" x14ac:dyDescent="0.25">
      <c r="A13" s="269" t="s">
        <v>129</v>
      </c>
      <c r="B13" s="270" t="s">
        <v>80</v>
      </c>
      <c r="C13" s="271"/>
      <c r="D13" s="272"/>
      <c r="E13" s="272"/>
      <c r="F13" s="273"/>
      <c r="G13" s="274">
        <f>ROUND('1. Статистика'!F9,3)</f>
        <v>1494.8779999999999</v>
      </c>
      <c r="H13" s="271"/>
      <c r="I13" s="272"/>
      <c r="J13" s="272"/>
      <c r="K13" s="273"/>
      <c r="L13" s="274">
        <f>ROUND('1. Статистика'!G9,3)</f>
        <v>1481.45</v>
      </c>
      <c r="M13" s="271"/>
      <c r="N13" s="272"/>
      <c r="O13" s="272"/>
      <c r="P13" s="273"/>
      <c r="Q13" s="274">
        <f>ROUND('1. Статистика'!H9,3)</f>
        <v>1481.45</v>
      </c>
      <c r="R13" s="91"/>
      <c r="S13" s="91"/>
      <c r="T13" s="91"/>
      <c r="U13" s="91"/>
      <c r="V13" s="91"/>
      <c r="W13" s="91"/>
    </row>
    <row r="14" spans="1:23" s="11" customFormat="1" ht="15" customHeight="1" outlineLevel="1" x14ac:dyDescent="0.25">
      <c r="A14" s="269" t="s">
        <v>130</v>
      </c>
      <c r="B14" s="270" t="s">
        <v>100</v>
      </c>
      <c r="C14" s="271"/>
      <c r="D14" s="272"/>
      <c r="E14" s="272"/>
      <c r="F14" s="273"/>
      <c r="G14" s="275">
        <f>ROUND('1. Статистика'!C19,3)</f>
        <v>270.35000000000002</v>
      </c>
      <c r="H14" s="271"/>
      <c r="I14" s="272"/>
      <c r="J14" s="272"/>
      <c r="K14" s="273"/>
      <c r="L14" s="275">
        <f>ROUND('1. Статистика'!D19,3)</f>
        <v>270.35000000000002</v>
      </c>
      <c r="M14" s="271"/>
      <c r="N14" s="272"/>
      <c r="O14" s="272"/>
      <c r="P14" s="273"/>
      <c r="Q14" s="275">
        <f>ROUND('1. Статистика'!E19,3)</f>
        <v>270.35000000000002</v>
      </c>
      <c r="R14" s="91"/>
      <c r="S14" s="91"/>
      <c r="T14" s="91"/>
      <c r="U14" s="91"/>
      <c r="V14" s="91"/>
      <c r="W14" s="91"/>
    </row>
    <row r="15" spans="1:23" s="11" customFormat="1" ht="15" customHeight="1" x14ac:dyDescent="0.25">
      <c r="A15" s="264" t="s">
        <v>39</v>
      </c>
      <c r="B15" s="265" t="s">
        <v>98</v>
      </c>
      <c r="C15" s="235">
        <f t="shared" ref="C15:Q15" si="0">ROUND(C16+C17,3)</f>
        <v>1.8</v>
      </c>
      <c r="D15" s="236">
        <f t="shared" si="0"/>
        <v>2.7</v>
      </c>
      <c r="E15" s="236">
        <f t="shared" si="0"/>
        <v>1.2</v>
      </c>
      <c r="F15" s="277">
        <f t="shared" si="0"/>
        <v>2.2999999999999998</v>
      </c>
      <c r="G15" s="121">
        <f t="shared" si="0"/>
        <v>8</v>
      </c>
      <c r="H15" s="235">
        <f t="shared" si="0"/>
        <v>2.4</v>
      </c>
      <c r="I15" s="235">
        <f t="shared" si="0"/>
        <v>3.3</v>
      </c>
      <c r="J15" s="235">
        <f t="shared" si="0"/>
        <v>1.8</v>
      </c>
      <c r="K15" s="235">
        <f t="shared" si="0"/>
        <v>4.0999999999999996</v>
      </c>
      <c r="L15" s="121">
        <f t="shared" si="0"/>
        <v>11.6</v>
      </c>
      <c r="M15" s="235">
        <f t="shared" si="0"/>
        <v>2.4</v>
      </c>
      <c r="N15" s="235">
        <f t="shared" si="0"/>
        <v>3.45</v>
      </c>
      <c r="O15" s="235">
        <f t="shared" si="0"/>
        <v>1.8</v>
      </c>
      <c r="P15" s="235">
        <f t="shared" si="0"/>
        <v>4.0999999999999996</v>
      </c>
      <c r="Q15" s="121">
        <f t="shared" si="0"/>
        <v>11.75</v>
      </c>
      <c r="R15" s="91"/>
      <c r="S15" s="91"/>
      <c r="T15" s="91"/>
      <c r="U15" s="91"/>
      <c r="V15" s="91"/>
      <c r="W15" s="91"/>
    </row>
    <row r="16" spans="1:23" s="77" customFormat="1" ht="15" customHeight="1" outlineLevel="1" x14ac:dyDescent="0.25">
      <c r="A16" s="278" t="s">
        <v>40</v>
      </c>
      <c r="B16" s="270" t="s">
        <v>98</v>
      </c>
      <c r="C16" s="122">
        <f>ROUND('1. Статистика'!N29,3)</f>
        <v>1.8</v>
      </c>
      <c r="D16" s="123">
        <f>ROUND('1. Статистика'!O29,3)</f>
        <v>1.2</v>
      </c>
      <c r="E16" s="123">
        <f>ROUND('1. Статистика'!P29,3)</f>
        <v>1.2</v>
      </c>
      <c r="F16" s="125">
        <f>ROUND('1. Статистика'!Q29,3)</f>
        <v>2</v>
      </c>
      <c r="G16" s="124">
        <f>ROUND(SUM(C16:F16),3)</f>
        <v>6.2</v>
      </c>
      <c r="H16" s="122">
        <f>ROUND(C15,3)</f>
        <v>1.8</v>
      </c>
      <c r="I16" s="122">
        <f>ROUND(D15,3)</f>
        <v>2.7</v>
      </c>
      <c r="J16" s="122">
        <f>ROUND(E15,3)</f>
        <v>1.2</v>
      </c>
      <c r="K16" s="122">
        <f>ROUND(F15,3)</f>
        <v>2.2999999999999998</v>
      </c>
      <c r="L16" s="124">
        <f>ROUND(SUM(H16:K16),3)</f>
        <v>8</v>
      </c>
      <c r="M16" s="122">
        <f>ROUND(H15,3)</f>
        <v>2.4</v>
      </c>
      <c r="N16" s="122">
        <f>ROUND(I15,3)</f>
        <v>3.3</v>
      </c>
      <c r="O16" s="122">
        <f>ROUND(J15,3)</f>
        <v>1.8</v>
      </c>
      <c r="P16" s="122">
        <f>ROUND(K15,3)</f>
        <v>4.0999999999999996</v>
      </c>
      <c r="Q16" s="124">
        <f>ROUND(SUM(M16:P16),3)</f>
        <v>11.6</v>
      </c>
      <c r="R16" s="92"/>
      <c r="S16" s="92"/>
      <c r="T16" s="92"/>
      <c r="U16" s="92"/>
      <c r="V16" s="92"/>
      <c r="W16" s="92"/>
    </row>
    <row r="17" spans="1:23" s="77" customFormat="1" ht="15" customHeight="1" outlineLevel="1" x14ac:dyDescent="0.25">
      <c r="A17" s="278" t="s">
        <v>41</v>
      </c>
      <c r="B17" s="270" t="s">
        <v>98</v>
      </c>
      <c r="C17" s="276"/>
      <c r="D17" s="276">
        <v>1.5</v>
      </c>
      <c r="E17" s="276"/>
      <c r="F17" s="276">
        <v>0.3</v>
      </c>
      <c r="G17" s="124">
        <f>ROUND(SUM(C17:F17),3)</f>
        <v>1.8</v>
      </c>
      <c r="H17" s="276">
        <v>0.6</v>
      </c>
      <c r="I17" s="276">
        <v>0.6</v>
      </c>
      <c r="J17" s="276">
        <v>0.6</v>
      </c>
      <c r="K17" s="276">
        <v>1.8</v>
      </c>
      <c r="L17" s="124">
        <f>ROUND(SUM(H17:K17),3)</f>
        <v>3.6</v>
      </c>
      <c r="M17" s="276"/>
      <c r="N17" s="276">
        <v>0.15</v>
      </c>
      <c r="O17" s="276"/>
      <c r="P17" s="276"/>
      <c r="Q17" s="124">
        <f>ROUND(SUM(M17:P17),3)</f>
        <v>0.15</v>
      </c>
      <c r="R17" s="92"/>
      <c r="S17" s="92"/>
      <c r="T17" s="92"/>
      <c r="U17" s="92"/>
      <c r="V17" s="92"/>
      <c r="W17" s="92"/>
    </row>
    <row r="18" spans="1:23" ht="15" customHeight="1" x14ac:dyDescent="0.25">
      <c r="A18" s="279" t="s">
        <v>37</v>
      </c>
      <c r="B18" s="280" t="s">
        <v>98</v>
      </c>
      <c r="C18" s="281">
        <f t="shared" ref="C18:Q18" si="1">ROUND(C9+C10+C15,3)</f>
        <v>106.65600000000001</v>
      </c>
      <c r="D18" s="282">
        <f t="shared" si="1"/>
        <v>101.72799999999999</v>
      </c>
      <c r="E18" s="282">
        <f t="shared" si="1"/>
        <v>97.945999999999998</v>
      </c>
      <c r="F18" s="283">
        <f t="shared" si="1"/>
        <v>127.96</v>
      </c>
      <c r="G18" s="284">
        <f t="shared" si="1"/>
        <v>424.04399999999998</v>
      </c>
      <c r="H18" s="281">
        <f t="shared" si="1"/>
        <v>106.473</v>
      </c>
      <c r="I18" s="282">
        <f t="shared" si="1"/>
        <v>101.313</v>
      </c>
      <c r="J18" s="282">
        <f t="shared" si="1"/>
        <v>97.266999999999996</v>
      </c>
      <c r="K18" s="283">
        <f t="shared" si="1"/>
        <v>127.982</v>
      </c>
      <c r="L18" s="284">
        <f t="shared" si="1"/>
        <v>424.06599999999997</v>
      </c>
      <c r="M18" s="281">
        <f t="shared" si="1"/>
        <v>106.494</v>
      </c>
      <c r="N18" s="281">
        <f t="shared" si="1"/>
        <v>101.483</v>
      </c>
      <c r="O18" s="281">
        <f t="shared" si="1"/>
        <v>97.436999999999998</v>
      </c>
      <c r="P18" s="283">
        <f t="shared" si="1"/>
        <v>128.15199999999999</v>
      </c>
      <c r="Q18" s="284">
        <f t="shared" si="1"/>
        <v>424.23700000000002</v>
      </c>
      <c r="R18" s="47"/>
      <c r="S18" s="90"/>
      <c r="T18" s="90"/>
      <c r="U18" s="47"/>
      <c r="V18" s="47"/>
      <c r="W18" s="47"/>
    </row>
    <row r="19" spans="1:23" s="11" customFormat="1" ht="15" customHeight="1" x14ac:dyDescent="0.25">
      <c r="A19" s="264" t="s">
        <v>87</v>
      </c>
      <c r="B19" s="285" t="s">
        <v>98</v>
      </c>
      <c r="C19" s="235">
        <f t="shared" ref="C19:Q19" si="2">ROUND(C20+C21,3)</f>
        <v>0.3</v>
      </c>
      <c r="D19" s="236">
        <f t="shared" si="2"/>
        <v>0.3</v>
      </c>
      <c r="E19" s="236">
        <f t="shared" si="2"/>
        <v>0.35</v>
      </c>
      <c r="F19" s="236">
        <f t="shared" si="2"/>
        <v>0.15</v>
      </c>
      <c r="G19" s="121">
        <f t="shared" si="2"/>
        <v>1.1000000000000001</v>
      </c>
      <c r="H19" s="235">
        <f t="shared" si="2"/>
        <v>0.3</v>
      </c>
      <c r="I19" s="235">
        <f t="shared" si="2"/>
        <v>0.3</v>
      </c>
      <c r="J19" s="235">
        <f t="shared" si="2"/>
        <v>0.35</v>
      </c>
      <c r="K19" s="235">
        <f t="shared" si="2"/>
        <v>0.15</v>
      </c>
      <c r="L19" s="121">
        <f t="shared" si="2"/>
        <v>1.1000000000000001</v>
      </c>
      <c r="M19" s="235">
        <f t="shared" si="2"/>
        <v>0.3</v>
      </c>
      <c r="N19" s="235">
        <f t="shared" si="2"/>
        <v>0.3</v>
      </c>
      <c r="O19" s="235">
        <f t="shared" si="2"/>
        <v>0.35</v>
      </c>
      <c r="P19" s="235">
        <f t="shared" si="2"/>
        <v>0.15</v>
      </c>
      <c r="Q19" s="121">
        <f t="shared" si="2"/>
        <v>1.1000000000000001</v>
      </c>
      <c r="R19" s="91"/>
      <c r="S19" s="91"/>
      <c r="T19" s="91"/>
      <c r="U19" s="91"/>
      <c r="V19" s="91"/>
      <c r="W19" s="91"/>
    </row>
    <row r="20" spans="1:23" s="77" customFormat="1" ht="14.1" customHeight="1" outlineLevel="1" x14ac:dyDescent="0.25">
      <c r="A20" s="278" t="s">
        <v>77</v>
      </c>
      <c r="B20" s="270" t="s">
        <v>98</v>
      </c>
      <c r="C20" s="122">
        <f>ROUND('1. Статистика'!N31,3)</f>
        <v>0.3</v>
      </c>
      <c r="D20" s="123">
        <f>ROUND('1. Статистика'!O31,3)</f>
        <v>0.3</v>
      </c>
      <c r="E20" s="123">
        <f>ROUND('1. Статистика'!P31,3)</f>
        <v>0.35</v>
      </c>
      <c r="F20" s="123">
        <f>ROUND('1. Статистика'!Q31,3)</f>
        <v>0.15</v>
      </c>
      <c r="G20" s="124">
        <f>ROUND(SUM(C20:F20),3)</f>
        <v>1.1000000000000001</v>
      </c>
      <c r="H20" s="122">
        <f>ROUND(C19,3)</f>
        <v>0.3</v>
      </c>
      <c r="I20" s="123">
        <f>ROUND(D19,3)</f>
        <v>0.3</v>
      </c>
      <c r="J20" s="123">
        <f>ROUND(E19,3)</f>
        <v>0.35</v>
      </c>
      <c r="K20" s="125">
        <f>ROUND(F19,3)</f>
        <v>0.15</v>
      </c>
      <c r="L20" s="124">
        <f>ROUND(SUM(H20:K20),3)</f>
        <v>1.1000000000000001</v>
      </c>
      <c r="M20" s="122">
        <f>ROUND(H19,3)</f>
        <v>0.3</v>
      </c>
      <c r="N20" s="122">
        <f>ROUND(I19,3)</f>
        <v>0.3</v>
      </c>
      <c r="O20" s="122">
        <f>ROUND(J19,3)</f>
        <v>0.35</v>
      </c>
      <c r="P20" s="122">
        <f>ROUND(K19,3)</f>
        <v>0.15</v>
      </c>
      <c r="Q20" s="124">
        <f>ROUND(SUM(M20:P20),3)</f>
        <v>1.1000000000000001</v>
      </c>
    </row>
    <row r="21" spans="1:23" s="77" customFormat="1" ht="15.6" customHeight="1" outlineLevel="1" x14ac:dyDescent="0.25">
      <c r="A21" s="286" t="s">
        <v>78</v>
      </c>
      <c r="B21" s="270" t="s">
        <v>98</v>
      </c>
      <c r="C21" s="276"/>
      <c r="D21" s="276"/>
      <c r="E21" s="276"/>
      <c r="F21" s="276"/>
      <c r="G21" s="124">
        <f>ROUND(SUM(C21:F21),3)</f>
        <v>0</v>
      </c>
      <c r="H21" s="276"/>
      <c r="I21" s="276"/>
      <c r="J21" s="276"/>
      <c r="K21" s="276"/>
      <c r="L21" s="124">
        <f>ROUND(SUM(H21:K21),3)</f>
        <v>0</v>
      </c>
      <c r="M21" s="276"/>
      <c r="N21" s="276"/>
      <c r="O21" s="276"/>
      <c r="P21" s="276"/>
      <c r="Q21" s="124">
        <f>ROUND(SUM(M21:P21),3)</f>
        <v>0</v>
      </c>
    </row>
    <row r="22" spans="1:23" ht="15.6" customHeight="1" x14ac:dyDescent="0.25">
      <c r="A22" s="264" t="s">
        <v>111</v>
      </c>
      <c r="B22" s="287" t="s">
        <v>98</v>
      </c>
      <c r="C22" s="288">
        <f>ROUND('1. Статистика'!D55*$G$22,3)</f>
        <v>0.93100000000000005</v>
      </c>
      <c r="D22" s="288">
        <f>ROUND(G22-(C22+E22+F22),3)</f>
        <v>0.95799999999999996</v>
      </c>
      <c r="E22" s="289">
        <f>ROUND('1. Статистика'!F55*$G$22,3)</f>
        <v>0.95799999999999996</v>
      </c>
      <c r="F22" s="289">
        <f>ROUND('1. Статистика'!G55*$G$22,3)</f>
        <v>0.96899999999999997</v>
      </c>
      <c r="G22" s="290">
        <f>ROUND(G23*G18,3)</f>
        <v>3.8159999999999998</v>
      </c>
      <c r="H22" s="288">
        <f>ROUND('1. Статистика'!D55*$L$22,3)</f>
        <v>0.93100000000000005</v>
      </c>
      <c r="I22" s="288">
        <f>ROUND(L22-(H22+J22+K22),3)</f>
        <v>0.95799999999999996</v>
      </c>
      <c r="J22" s="288">
        <f>ROUND('1. Статистика'!F55*$L$22,3)</f>
        <v>0.95799999999999996</v>
      </c>
      <c r="K22" s="288">
        <f>ROUND('1. Статистика'!G55*$L$22,3)</f>
        <v>0.97</v>
      </c>
      <c r="L22" s="290">
        <f>ROUND(L23*L18,3)</f>
        <v>3.8170000000000002</v>
      </c>
      <c r="M22" s="291">
        <f>ROUND('1. Статистика'!D55*$Q$22,3)</f>
        <v>0.93200000000000005</v>
      </c>
      <c r="N22" s="289">
        <f>ROUND(Q22-(M22+O22+P22),3)</f>
        <v>0.95799999999999996</v>
      </c>
      <c r="O22" s="289">
        <f>ROUND('1. Статистика'!F55*$Q$22,3)</f>
        <v>0.95799999999999996</v>
      </c>
      <c r="P22" s="292">
        <f>ROUND('1. Статистика'!G55*$Q$22,3)</f>
        <v>0.97</v>
      </c>
      <c r="Q22" s="290">
        <f>ROUND(Q23*Q18,3)</f>
        <v>3.8180000000000001</v>
      </c>
    </row>
    <row r="23" spans="1:23" s="10" customFormat="1" outlineLevel="1" x14ac:dyDescent="0.25">
      <c r="A23" s="278" t="s">
        <v>43</v>
      </c>
      <c r="B23" s="270" t="s">
        <v>83</v>
      </c>
      <c r="C23" s="293"/>
      <c r="D23" s="294"/>
      <c r="E23" s="295"/>
      <c r="F23" s="296"/>
      <c r="G23" s="373">
        <v>8.9999999999999993E-3</v>
      </c>
      <c r="H23" s="293"/>
      <c r="I23" s="295"/>
      <c r="J23" s="295"/>
      <c r="K23" s="296"/>
      <c r="L23" s="373">
        <f>ROUND(G23,3)</f>
        <v>8.9999999999999993E-3</v>
      </c>
      <c r="M23" s="293"/>
      <c r="N23" s="297"/>
      <c r="O23" s="295"/>
      <c r="P23" s="296"/>
      <c r="Q23" s="374">
        <f>ROUND(G23,3)</f>
        <v>8.9999999999999993E-3</v>
      </c>
    </row>
    <row r="24" spans="1:23" s="11" customFormat="1" x14ac:dyDescent="0.25">
      <c r="A24" s="264" t="s">
        <v>112</v>
      </c>
      <c r="B24" s="287" t="s">
        <v>98</v>
      </c>
      <c r="C24" s="235">
        <f>ROUND(C25+C26,3)</f>
        <v>40</v>
      </c>
      <c r="D24" s="236">
        <f>ROUND(D25+D26,3)</f>
        <v>37</v>
      </c>
      <c r="E24" s="236">
        <f>ROUND(E25+E26,3)</f>
        <v>33</v>
      </c>
      <c r="F24" s="277">
        <f>ROUND(F25+F26,3)</f>
        <v>49.5</v>
      </c>
      <c r="G24" s="121">
        <f>ROUND(SUM(C24:F24),3)</f>
        <v>159.5</v>
      </c>
      <c r="H24" s="235">
        <f>ROUND(H25+H26,3)</f>
        <v>40</v>
      </c>
      <c r="I24" s="236">
        <f>ROUND(I25+I26,3)</f>
        <v>37</v>
      </c>
      <c r="J24" s="236">
        <f>ROUND(J25+J26,3)</f>
        <v>33</v>
      </c>
      <c r="K24" s="277">
        <f>ROUND(K25+K26,3)</f>
        <v>49.5</v>
      </c>
      <c r="L24" s="121">
        <f>ROUND(SUM(H24:K24),3)</f>
        <v>159.5</v>
      </c>
      <c r="M24" s="235">
        <f>ROUND(M25+M26,3)</f>
        <v>40</v>
      </c>
      <c r="N24" s="235">
        <f>ROUND(N25+N26,3)</f>
        <v>37</v>
      </c>
      <c r="O24" s="235">
        <f>ROUND(O25+O26,3)</f>
        <v>33</v>
      </c>
      <c r="P24" s="235">
        <f>ROUND(P25+P26,3)</f>
        <v>49.67</v>
      </c>
      <c r="Q24" s="121">
        <f>ROUND(SUM(M24:P24),3)</f>
        <v>159.66999999999999</v>
      </c>
    </row>
    <row r="25" spans="1:23" s="77" customFormat="1" outlineLevel="1" x14ac:dyDescent="0.25">
      <c r="A25" s="278" t="s">
        <v>44</v>
      </c>
      <c r="B25" s="270" t="s">
        <v>98</v>
      </c>
      <c r="C25" s="122">
        <f>ROUND('1. Статистика'!N33,3)</f>
        <v>40</v>
      </c>
      <c r="D25" s="123">
        <f>ROUND('1. Статистика'!O33,3)</f>
        <v>37</v>
      </c>
      <c r="E25" s="123">
        <f>ROUND('1. Статистика'!P33,3)</f>
        <v>33</v>
      </c>
      <c r="F25" s="125">
        <f>ROUND('1. Статистика'!Q33,3)</f>
        <v>49.5</v>
      </c>
      <c r="G25" s="124">
        <f>ROUND(SUM(C25:F25),3)</f>
        <v>159.5</v>
      </c>
      <c r="H25" s="122">
        <f>ROUND(C24,3)</f>
        <v>40</v>
      </c>
      <c r="I25" s="123">
        <f>ROUND(D24,3)</f>
        <v>37</v>
      </c>
      <c r="J25" s="123">
        <f>ROUND(E24,3)</f>
        <v>33</v>
      </c>
      <c r="K25" s="125">
        <f>ROUND(F24,3)</f>
        <v>49.5</v>
      </c>
      <c r="L25" s="124">
        <f>ROUND(SUM(H25:K25),3)</f>
        <v>159.5</v>
      </c>
      <c r="M25" s="122">
        <f>ROUND(H24,3)</f>
        <v>40</v>
      </c>
      <c r="N25" s="122">
        <f>ROUND(I24,3)</f>
        <v>37</v>
      </c>
      <c r="O25" s="122">
        <f>ROUND(J24,3)</f>
        <v>33</v>
      </c>
      <c r="P25" s="122">
        <f>ROUND(K24,3)</f>
        <v>49.5</v>
      </c>
      <c r="Q25" s="124">
        <f>ROUND(SUM(M25:P25),3)</f>
        <v>159.5</v>
      </c>
    </row>
    <row r="26" spans="1:23" s="77" customFormat="1" outlineLevel="1" x14ac:dyDescent="0.25">
      <c r="A26" s="278" t="s">
        <v>45</v>
      </c>
      <c r="B26" s="270" t="s">
        <v>98</v>
      </c>
      <c r="C26" s="276"/>
      <c r="D26" s="276"/>
      <c r="E26" s="276"/>
      <c r="F26" s="276"/>
      <c r="G26" s="124">
        <f>ROUND(SUM(C26:F26),3)</f>
        <v>0</v>
      </c>
      <c r="H26" s="276"/>
      <c r="I26" s="276"/>
      <c r="J26" s="276"/>
      <c r="K26" s="276"/>
      <c r="L26" s="124">
        <f>ROUND(SUM(H26:K26),3)</f>
        <v>0</v>
      </c>
      <c r="M26" s="276"/>
      <c r="N26" s="276"/>
      <c r="O26" s="276"/>
      <c r="P26" s="276">
        <v>0.17</v>
      </c>
      <c r="Q26" s="124">
        <f>ROUND(SUM(M26:P26),3)</f>
        <v>0.17</v>
      </c>
    </row>
    <row r="27" spans="1:23" s="11" customFormat="1" x14ac:dyDescent="0.25">
      <c r="A27" s="264" t="s">
        <v>113</v>
      </c>
      <c r="B27" s="287" t="s">
        <v>98</v>
      </c>
      <c r="C27" s="235">
        <f>ROUND('1. Статистика'!D56*$G$27,3)</f>
        <v>58.945999999999998</v>
      </c>
      <c r="D27" s="236">
        <f>ROUND(G27-(C27+E27+F27),3)</f>
        <v>62.908999999999999</v>
      </c>
      <c r="E27" s="236">
        <f>ROUND('1. Статистика'!F56*$G$27,3)</f>
        <v>60.432000000000002</v>
      </c>
      <c r="F27" s="291">
        <f>ROUND('1. Статистика'!G56*$G$27,3)</f>
        <v>65.385000000000005</v>
      </c>
      <c r="G27" s="121">
        <f>ROUND((G28*G29)/1000,3)</f>
        <v>247.672</v>
      </c>
      <c r="H27" s="235">
        <f>ROUND('1. Статистика'!D56*$L$27,3)</f>
        <v>58.945999999999998</v>
      </c>
      <c r="I27" s="236">
        <f>ROUND(L27-(H27+J27+K27),3)</f>
        <v>62.908999999999999</v>
      </c>
      <c r="J27" s="236">
        <f>ROUND('1. Статистика'!F56*$L$27,3)</f>
        <v>60.432000000000002</v>
      </c>
      <c r="K27" s="291">
        <f>ROUND('1. Статистика'!G56*$L$27,3)</f>
        <v>65.385000000000005</v>
      </c>
      <c r="L27" s="121">
        <f>ROUND((L28*L29)/1000,3)</f>
        <v>247.672</v>
      </c>
      <c r="M27" s="235">
        <f>ROUND('1. Статистика'!D56*$Q$27,3)</f>
        <v>58.945999999999998</v>
      </c>
      <c r="N27" s="235">
        <f>ROUND(Q27-(M27+O27+P27),3)</f>
        <v>62.908999999999999</v>
      </c>
      <c r="O27" s="235">
        <f>ROUND('1. Статистика'!F56*$Q$27,3)</f>
        <v>60.432000000000002</v>
      </c>
      <c r="P27" s="235">
        <f>ROUND('1. Статистика'!G56*$Q$27,3)</f>
        <v>65.385000000000005</v>
      </c>
      <c r="Q27" s="121">
        <f>ROUND((Q28*Q29)/1000,3)</f>
        <v>247.672</v>
      </c>
    </row>
    <row r="28" spans="1:23" s="77" customFormat="1" outlineLevel="1" x14ac:dyDescent="0.25">
      <c r="A28" s="278" t="s">
        <v>108</v>
      </c>
      <c r="B28" s="270" t="s">
        <v>106</v>
      </c>
      <c r="C28" s="404"/>
      <c r="D28" s="404"/>
      <c r="E28" s="404"/>
      <c r="F28" s="404"/>
      <c r="G28" s="124">
        <f>ROUND('1. Статистика'!C68,3)</f>
        <v>243.822</v>
      </c>
      <c r="H28" s="404"/>
      <c r="I28" s="404"/>
      <c r="J28" s="404"/>
      <c r="K28" s="404"/>
      <c r="L28" s="124">
        <f>ROUND('1. Статистика'!D68,3)</f>
        <v>243.822</v>
      </c>
      <c r="M28" s="404"/>
      <c r="N28" s="404"/>
      <c r="O28" s="404"/>
      <c r="P28" s="404"/>
      <c r="Q28" s="124">
        <f>ROUND('1. Статистика'!E68,3)</f>
        <v>243.822</v>
      </c>
    </row>
    <row r="29" spans="1:23" s="77" customFormat="1" outlineLevel="1" x14ac:dyDescent="0.25">
      <c r="A29" s="286" t="s">
        <v>107</v>
      </c>
      <c r="B29" s="270" t="s">
        <v>104</v>
      </c>
      <c r="C29" s="404"/>
      <c r="D29" s="404"/>
      <c r="E29" s="404"/>
      <c r="F29" s="404"/>
      <c r="G29" s="124">
        <f>ROUND('1. Статистика'!F63,3)</f>
        <v>1015.79</v>
      </c>
      <c r="H29" s="404"/>
      <c r="I29" s="404"/>
      <c r="J29" s="404"/>
      <c r="K29" s="404"/>
      <c r="L29" s="124">
        <f>ROUND('1. Статистика'!G63,3)</f>
        <v>1015.79</v>
      </c>
      <c r="M29" s="404"/>
      <c r="N29" s="404"/>
      <c r="O29" s="404"/>
      <c r="P29" s="404"/>
      <c r="Q29" s="124">
        <f>ROUND('1. Статистика'!H63,3)</f>
        <v>1015.79</v>
      </c>
    </row>
    <row r="30" spans="1:23" s="3" customFormat="1" ht="15" customHeight="1" x14ac:dyDescent="0.25">
      <c r="A30" s="279" t="s">
        <v>42</v>
      </c>
      <c r="B30" s="280" t="s">
        <v>98</v>
      </c>
      <c r="C30" s="281">
        <f t="shared" ref="C30:Q30" si="3">ROUND(C19+C24+C27+C22,3)</f>
        <v>100.17700000000001</v>
      </c>
      <c r="D30" s="282">
        <f t="shared" si="3"/>
        <v>101.167</v>
      </c>
      <c r="E30" s="282">
        <f t="shared" si="3"/>
        <v>94.74</v>
      </c>
      <c r="F30" s="282">
        <f t="shared" si="3"/>
        <v>116.004</v>
      </c>
      <c r="G30" s="284">
        <f t="shared" si="3"/>
        <v>412.08800000000002</v>
      </c>
      <c r="H30" s="282">
        <f t="shared" si="3"/>
        <v>100.17700000000001</v>
      </c>
      <c r="I30" s="282">
        <f t="shared" si="3"/>
        <v>101.167</v>
      </c>
      <c r="J30" s="282">
        <f t="shared" si="3"/>
        <v>94.74</v>
      </c>
      <c r="K30" s="282">
        <f t="shared" si="3"/>
        <v>116.005</v>
      </c>
      <c r="L30" s="284">
        <f t="shared" si="3"/>
        <v>412.089</v>
      </c>
      <c r="M30" s="282">
        <f t="shared" si="3"/>
        <v>100.178</v>
      </c>
      <c r="N30" s="282">
        <f t="shared" si="3"/>
        <v>101.167</v>
      </c>
      <c r="O30" s="282">
        <f t="shared" si="3"/>
        <v>94.74</v>
      </c>
      <c r="P30" s="282">
        <f t="shared" si="3"/>
        <v>116.175</v>
      </c>
      <c r="Q30" s="284">
        <f t="shared" si="3"/>
        <v>412.26</v>
      </c>
    </row>
    <row r="31" spans="1:23" ht="15.75" thickBot="1" x14ac:dyDescent="0.3">
      <c r="A31" s="298" t="s">
        <v>46</v>
      </c>
      <c r="B31" s="299" t="s">
        <v>98</v>
      </c>
      <c r="C31" s="300">
        <f t="shared" ref="C31:Q31" si="4">ROUND(C18-C30,3)</f>
        <v>6.4790000000000001</v>
      </c>
      <c r="D31" s="301">
        <f t="shared" si="4"/>
        <v>0.56100000000000005</v>
      </c>
      <c r="E31" s="301">
        <f t="shared" si="4"/>
        <v>3.206</v>
      </c>
      <c r="F31" s="302">
        <f t="shared" si="4"/>
        <v>11.956</v>
      </c>
      <c r="G31" s="303">
        <f t="shared" si="4"/>
        <v>11.956</v>
      </c>
      <c r="H31" s="300">
        <f t="shared" si="4"/>
        <v>6.2960000000000003</v>
      </c>
      <c r="I31" s="301">
        <f t="shared" si="4"/>
        <v>0.14599999999999999</v>
      </c>
      <c r="J31" s="301">
        <f t="shared" si="4"/>
        <v>2.5270000000000001</v>
      </c>
      <c r="K31" s="302">
        <f t="shared" si="4"/>
        <v>11.977</v>
      </c>
      <c r="L31" s="303">
        <f t="shared" si="4"/>
        <v>11.977</v>
      </c>
      <c r="M31" s="300">
        <f t="shared" si="4"/>
        <v>6.3159999999999998</v>
      </c>
      <c r="N31" s="301">
        <f t="shared" si="4"/>
        <v>0.316</v>
      </c>
      <c r="O31" s="301">
        <f t="shared" si="4"/>
        <v>2.6970000000000001</v>
      </c>
      <c r="P31" s="302">
        <f t="shared" si="4"/>
        <v>11.977</v>
      </c>
      <c r="Q31" s="303">
        <f t="shared" si="4"/>
        <v>11.977</v>
      </c>
    </row>
    <row r="32" spans="1:23" x14ac:dyDescent="0.25"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s="204" customFormat="1" ht="15" customHeight="1" x14ac:dyDescent="0.25">
      <c r="A34" s="201" t="s">
        <v>73</v>
      </c>
      <c r="B34" s="202"/>
      <c r="C34" s="233">
        <f t="shared" ref="C34:Q34" si="5">ROUND(C18-C30-C31,3)</f>
        <v>0</v>
      </c>
      <c r="D34" s="233">
        <f t="shared" si="5"/>
        <v>0</v>
      </c>
      <c r="E34" s="233">
        <f t="shared" si="5"/>
        <v>0</v>
      </c>
      <c r="F34" s="233">
        <f t="shared" si="5"/>
        <v>0</v>
      </c>
      <c r="G34" s="234">
        <f t="shared" si="5"/>
        <v>0</v>
      </c>
      <c r="H34" s="233">
        <f t="shared" si="5"/>
        <v>0</v>
      </c>
      <c r="I34" s="233">
        <f t="shared" si="5"/>
        <v>0</v>
      </c>
      <c r="J34" s="233">
        <f t="shared" si="5"/>
        <v>0</v>
      </c>
      <c r="K34" s="233">
        <f t="shared" si="5"/>
        <v>0</v>
      </c>
      <c r="L34" s="234">
        <f t="shared" si="5"/>
        <v>0</v>
      </c>
      <c r="M34" s="233">
        <f t="shared" si="5"/>
        <v>0</v>
      </c>
      <c r="N34" s="233">
        <f t="shared" si="5"/>
        <v>0</v>
      </c>
      <c r="O34" s="233">
        <f t="shared" si="5"/>
        <v>0</v>
      </c>
      <c r="P34" s="233">
        <f t="shared" si="5"/>
        <v>0</v>
      </c>
      <c r="Q34" s="234">
        <f t="shared" si="5"/>
        <v>0</v>
      </c>
    </row>
    <row r="35" spans="1:17" s="204" customFormat="1" x14ac:dyDescent="0.25">
      <c r="A35" s="205"/>
      <c r="B35" s="202"/>
      <c r="C35" s="233"/>
      <c r="D35" s="233"/>
      <c r="E35" s="233"/>
      <c r="F35" s="233"/>
      <c r="G35" s="234"/>
      <c r="H35" s="233"/>
      <c r="I35" s="233"/>
      <c r="J35" s="233"/>
      <c r="K35" s="233"/>
      <c r="L35" s="234"/>
      <c r="M35" s="233"/>
      <c r="N35" s="233"/>
      <c r="O35" s="233"/>
      <c r="P35" s="233"/>
      <c r="Q35" s="234"/>
    </row>
    <row r="36" spans="1:17" s="204" customFormat="1" x14ac:dyDescent="0.25">
      <c r="A36" s="206"/>
      <c r="B36" s="202"/>
      <c r="C36" s="233"/>
      <c r="D36" s="233"/>
      <c r="E36" s="233"/>
      <c r="F36" s="233"/>
      <c r="G36" s="234"/>
      <c r="H36" s="233"/>
      <c r="I36" s="233"/>
      <c r="J36" s="233"/>
      <c r="K36" s="233"/>
      <c r="L36" s="234"/>
      <c r="M36" s="233"/>
      <c r="N36" s="233"/>
      <c r="O36" s="233"/>
      <c r="P36" s="233"/>
      <c r="Q36" s="234"/>
    </row>
    <row r="37" spans="1:17" s="204" customFormat="1" x14ac:dyDescent="0.25">
      <c r="A37" s="201" t="s">
        <v>47</v>
      </c>
      <c r="B37" s="202"/>
      <c r="C37" s="233">
        <f t="shared" ref="C37:Q37" si="6">ROUND(C9+C10+C15-C19-C22-C24-C27-C31,3)</f>
        <v>0</v>
      </c>
      <c r="D37" s="233">
        <f t="shared" si="6"/>
        <v>0</v>
      </c>
      <c r="E37" s="233">
        <f t="shared" si="6"/>
        <v>0</v>
      </c>
      <c r="F37" s="233">
        <f t="shared" si="6"/>
        <v>0</v>
      </c>
      <c r="G37" s="234">
        <f t="shared" si="6"/>
        <v>0</v>
      </c>
      <c r="H37" s="233">
        <f t="shared" si="6"/>
        <v>0</v>
      </c>
      <c r="I37" s="233">
        <f t="shared" si="6"/>
        <v>0</v>
      </c>
      <c r="J37" s="233">
        <f t="shared" si="6"/>
        <v>0</v>
      </c>
      <c r="K37" s="233">
        <f t="shared" si="6"/>
        <v>0</v>
      </c>
      <c r="L37" s="234">
        <f t="shared" si="6"/>
        <v>0</v>
      </c>
      <c r="M37" s="233">
        <f t="shared" si="6"/>
        <v>0</v>
      </c>
      <c r="N37" s="233">
        <f t="shared" si="6"/>
        <v>0</v>
      </c>
      <c r="O37" s="233">
        <f t="shared" si="6"/>
        <v>0</v>
      </c>
      <c r="P37" s="233">
        <f t="shared" si="6"/>
        <v>0</v>
      </c>
      <c r="Q37" s="234">
        <f t="shared" si="6"/>
        <v>0</v>
      </c>
    </row>
    <row r="38" spans="1:17" s="204" customFormat="1" x14ac:dyDescent="0.25">
      <c r="A38" s="206"/>
      <c r="B38" s="202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</row>
    <row r="161" spans="5:5" ht="15" customHeight="1" x14ac:dyDescent="0.25">
      <c r="E161" s="18">
        <f>E124-E36+'2. Прогноз. Без корректировки'!D161</f>
        <v>0</v>
      </c>
    </row>
  </sheetData>
  <sheetProtection algorithmName="SHA-512" hashValue="imGeXa/PkPVLqZn682/y1KGZD89O6YRr/ViLnT4DqOgd5c8GSUsNqgHA1vJYFmvQFriemJeOXLsQPXpEZpbdGw==" saltValue="rGv3c5pmEo4/F9kunUYdQw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phoneticPr fontId="18" type="noConversion"/>
  <dataValidations count="3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G16:G17 Q20:Q21 L16:L17 Q16:Q18">
      <formula1>-1000000000</formula1>
    </dataValidation>
    <dataValidation type="decimal" operator="greaterThan" allowBlank="1" showInputMessage="1" showErrorMessage="1" sqref="G18:G21 Q27 L18:L21 Q19 G27 L27 Q24 H12:K12 H15:K29 C12:F12 C15:F29 M12:P12 M15:P29 Q11 Q14 G11 G14 L11 L14">
      <formula1>-1000000000</formula1>
    </dataValidation>
    <dataValidation type="decimal" allowBlank="1" showInputMessage="1" showErrorMessage="1" sqref="G23 L23 Q23">
      <formula1>-1000000000</formula1>
      <formula2>1000000000000000</formula2>
    </dataValidation>
  </dataValidations>
  <pageMargins left="0.25" right="0.25" top="0.75" bottom="0.75" header="0.3" footer="0.3"/>
  <pageSetup paperSize="9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/>
  </sheetPr>
  <dimension ref="A1:Q37"/>
  <sheetViews>
    <sheetView showGridLines="0" zoomScaleNormal="100" workbookViewId="0">
      <pane xSplit="2" ySplit="8" topLeftCell="C18" activePane="bottomRight" state="frozen"/>
      <selection pane="topRight" activeCell="C1" sqref="C1"/>
      <selection pane="bottomLeft" activeCell="A9" sqref="A9"/>
      <selection pane="bottomRight" activeCell="D31" sqref="D31"/>
    </sheetView>
  </sheetViews>
  <sheetFormatPr defaultRowHeight="15" outlineLevelRow="1" outlineLevelCol="1" x14ac:dyDescent="0.25"/>
  <cols>
    <col min="1" max="1" width="56.28515625" customWidth="1"/>
    <col min="2" max="2" width="10.5703125" customWidth="1"/>
    <col min="3" max="6" width="13.7109375" customWidth="1" outlineLevel="1"/>
    <col min="7" max="7" width="13.7109375" customWidth="1"/>
    <col min="8" max="11" width="13.7109375" customWidth="1" outlineLevel="1"/>
    <col min="12" max="12" width="13.7109375" customWidth="1"/>
    <col min="13" max="16" width="13.7109375" customWidth="1" outlineLevel="1"/>
    <col min="17" max="17" width="13.7109375" customWidth="1"/>
  </cols>
  <sheetData>
    <row r="1" spans="1:17" x14ac:dyDescent="0.25">
      <c r="A1" s="111"/>
      <c r="B1" s="112" t="s">
        <v>10</v>
      </c>
    </row>
    <row r="2" spans="1:17" x14ac:dyDescent="0.25">
      <c r="A2" s="113" t="s">
        <v>9</v>
      </c>
      <c r="B2" s="114"/>
    </row>
    <row r="3" spans="1:17" x14ac:dyDescent="0.25">
      <c r="A3" s="113" t="s">
        <v>84</v>
      </c>
      <c r="B3" s="118"/>
    </row>
    <row r="4" spans="1:17" x14ac:dyDescent="0.25">
      <c r="A4" s="115"/>
      <c r="B4" s="116"/>
    </row>
    <row r="5" spans="1:17" x14ac:dyDescent="0.25">
      <c r="A5" s="115"/>
      <c r="B5" s="116"/>
    </row>
    <row r="6" spans="1:17" ht="15.75" thickBot="1" x14ac:dyDescent="0.3">
      <c r="A6" s="9"/>
    </row>
    <row r="7" spans="1:17" x14ac:dyDescent="0.25">
      <c r="A7" s="455" t="s">
        <v>15</v>
      </c>
      <c r="B7" s="457" t="s">
        <v>36</v>
      </c>
      <c r="C7" s="450" t="str">
        <f>YEAR(Test_date)&amp;" год"</f>
        <v>2020 год</v>
      </c>
      <c r="D7" s="451"/>
      <c r="E7" s="451"/>
      <c r="F7" s="452"/>
      <c r="G7" s="453" t="str">
        <f>C7</f>
        <v>2020 год</v>
      </c>
      <c r="H7" s="450" t="str">
        <f>(LEFT(C7,4)+1)&amp;" год"</f>
        <v>2021 год</v>
      </c>
      <c r="I7" s="451"/>
      <c r="J7" s="451"/>
      <c r="K7" s="452"/>
      <c r="L7" s="453" t="str">
        <f>H7</f>
        <v>2021 год</v>
      </c>
      <c r="M7" s="450" t="str">
        <f>(LEFT(H7,4)+1)&amp;" год"</f>
        <v>2022 год</v>
      </c>
      <c r="N7" s="451"/>
      <c r="O7" s="451"/>
      <c r="P7" s="452"/>
      <c r="Q7" s="453" t="str">
        <f>M7</f>
        <v>2022 год</v>
      </c>
    </row>
    <row r="8" spans="1:17" ht="15.75" thickBot="1" x14ac:dyDescent="0.3">
      <c r="A8" s="456"/>
      <c r="B8" s="458"/>
      <c r="C8" s="350">
        <v>1</v>
      </c>
      <c r="D8" s="351">
        <v>2</v>
      </c>
      <c r="E8" s="351">
        <v>3</v>
      </c>
      <c r="F8" s="352">
        <v>4</v>
      </c>
      <c r="G8" s="454"/>
      <c r="H8" s="350">
        <v>1</v>
      </c>
      <c r="I8" s="351">
        <v>2</v>
      </c>
      <c r="J8" s="351">
        <v>3</v>
      </c>
      <c r="K8" s="352">
        <v>4</v>
      </c>
      <c r="L8" s="454"/>
      <c r="M8" s="350">
        <v>1</v>
      </c>
      <c r="N8" s="351">
        <v>2</v>
      </c>
      <c r="O8" s="351">
        <v>3</v>
      </c>
      <c r="P8" s="352">
        <v>4</v>
      </c>
      <c r="Q8" s="454"/>
    </row>
    <row r="9" spans="1:17" x14ac:dyDescent="0.25">
      <c r="A9" s="304" t="s">
        <v>38</v>
      </c>
      <c r="B9" s="259" t="s">
        <v>98</v>
      </c>
      <c r="C9" s="305">
        <f>ROUND(G9,3)</f>
        <v>11.904</v>
      </c>
      <c r="D9" s="306">
        <f>ROUND(C31,3)</f>
        <v>6.4790000000000001</v>
      </c>
      <c r="E9" s="306">
        <f>ROUND(D31,3)</f>
        <v>0.76500000000000001</v>
      </c>
      <c r="F9" s="307">
        <f>ROUND(E31,3)</f>
        <v>3.206</v>
      </c>
      <c r="G9" s="308">
        <f>ROUND('1. Статистика'!AK46,3)</f>
        <v>11.904</v>
      </c>
      <c r="H9" s="305">
        <f>ROUND(L9,3)</f>
        <v>11.956</v>
      </c>
      <c r="I9" s="306">
        <f>ROUND(H31,3)</f>
        <v>6.2960000000000003</v>
      </c>
      <c r="J9" s="306">
        <f>ROUND(I31,3)</f>
        <v>0.76600000000000001</v>
      </c>
      <c r="K9" s="307">
        <f>ROUND(J31,3)</f>
        <v>2.528</v>
      </c>
      <c r="L9" s="308">
        <f>ROUND(F31,3)</f>
        <v>11.956</v>
      </c>
      <c r="M9" s="305">
        <f>ROUND(Q9,3)</f>
        <v>11.978</v>
      </c>
      <c r="N9" s="306">
        <f>ROUND(M31,3)</f>
        <v>6.3170000000000002</v>
      </c>
      <c r="O9" s="306">
        <f>ROUND(N31,3)</f>
        <v>0.76600000000000001</v>
      </c>
      <c r="P9" s="307">
        <f>ROUND(O31,3)</f>
        <v>2.698</v>
      </c>
      <c r="Q9" s="308">
        <f>ROUND(K31,3)</f>
        <v>11.978</v>
      </c>
    </row>
    <row r="10" spans="1:17" ht="15" customHeight="1" x14ac:dyDescent="0.25">
      <c r="A10" s="309" t="s">
        <v>81</v>
      </c>
      <c r="B10" s="265" t="s">
        <v>98</v>
      </c>
      <c r="C10" s="310">
        <f>ROUND('2. Прогноз. Без корректировки'!C10,3)</f>
        <v>92.951999999999998</v>
      </c>
      <c r="D10" s="311">
        <f>ROUND('2. Прогноз. Без корректировки'!D10,3)</f>
        <v>92.549000000000007</v>
      </c>
      <c r="E10" s="311">
        <f>ROUND('2. Прогноз. Без корректировки'!E10,3)</f>
        <v>96.185000000000002</v>
      </c>
      <c r="F10" s="311">
        <f>ROUND('2. Прогноз. Без корректировки'!F10,3)</f>
        <v>122.45399999999999</v>
      </c>
      <c r="G10" s="312">
        <f>ROUND('2. Прогноз. Без корректировки'!G10,3)</f>
        <v>404.14</v>
      </c>
      <c r="H10" s="311">
        <f>ROUND('2. Прогноз. Без корректировки'!H10,3)</f>
        <v>92.117000000000004</v>
      </c>
      <c r="I10" s="311">
        <f>ROUND('2. Прогноз. Без корректировки'!I10,3)</f>
        <v>91.716999999999999</v>
      </c>
      <c r="J10" s="311">
        <f>ROUND('2. Прогноз. Без корректировки'!J10,3)</f>
        <v>95.320999999999998</v>
      </c>
      <c r="K10" s="311">
        <f>ROUND('2. Прогноз. Без корректировки'!K10,3)</f>
        <v>121.355</v>
      </c>
      <c r="L10" s="312">
        <f>ROUND('2. Прогноз. Без корректировки'!L10,3)</f>
        <v>400.51</v>
      </c>
      <c r="M10" s="311">
        <f>ROUND('2. Прогноз. Без корректировки'!M10,3)</f>
        <v>92.117000000000004</v>
      </c>
      <c r="N10" s="311">
        <f>ROUND('2. Прогноз. Без корректировки'!N10,3)</f>
        <v>91.716999999999999</v>
      </c>
      <c r="O10" s="311">
        <f>ROUND('2. Прогноз. Без корректировки'!O10,3)</f>
        <v>95.320999999999998</v>
      </c>
      <c r="P10" s="311">
        <f>ROUND('2. Прогноз. Без корректировки'!P10,3)</f>
        <v>121.355</v>
      </c>
      <c r="Q10" s="312">
        <f>ROUND('2. Прогноз. Без корректировки'!Q10,3)</f>
        <v>400.51</v>
      </c>
    </row>
    <row r="11" spans="1:17" s="47" customFormat="1" ht="15" customHeight="1" outlineLevel="1" x14ac:dyDescent="0.25">
      <c r="A11" s="427" t="s">
        <v>133</v>
      </c>
      <c r="B11" s="266" t="s">
        <v>98</v>
      </c>
      <c r="C11" s="313">
        <f>ROUND('2. Прогноз. Без корректировки'!C11,3)</f>
        <v>92.911000000000001</v>
      </c>
      <c r="D11" s="313">
        <f>ROUND('2. Прогноз. Без корректировки'!D11,3)</f>
        <v>92.486999999999995</v>
      </c>
      <c r="E11" s="313">
        <f>ROUND('2. Прогноз. Без корректировки'!E11,3)</f>
        <v>96.128</v>
      </c>
      <c r="F11" s="313">
        <f>ROUND('2. Прогноз. Без корректировки'!F11,3)</f>
        <v>122.41800000000001</v>
      </c>
      <c r="G11" s="314">
        <f>ROUND('2. Прогноз. Без корректировки'!G11,3)</f>
        <v>403.94400000000002</v>
      </c>
      <c r="H11" s="313">
        <f>ROUND('2. Прогноз. Без корректировки'!H11,3)</f>
        <v>92.075999999999993</v>
      </c>
      <c r="I11" s="313">
        <f>ROUND('2. Прогноз. Без корректировки'!I11,3)</f>
        <v>91.655000000000001</v>
      </c>
      <c r="J11" s="313">
        <f>ROUND('2. Прогноз. Без корректировки'!J11,3)</f>
        <v>95.263999999999996</v>
      </c>
      <c r="K11" s="313">
        <f>ROUND('2. Прогноз. Без корректировки'!K11,3)</f>
        <v>121.319</v>
      </c>
      <c r="L11" s="314">
        <f>ROUND('2. Прогноз. Без корректировки'!L11,3)</f>
        <v>400.31400000000002</v>
      </c>
      <c r="M11" s="313">
        <f>ROUND('2. Прогноз. Без корректировки'!M11,3)</f>
        <v>92.075999999999993</v>
      </c>
      <c r="N11" s="313">
        <f>ROUND('2. Прогноз. Без корректировки'!N11,3)</f>
        <v>91.655000000000001</v>
      </c>
      <c r="O11" s="313">
        <f>ROUND('2. Прогноз. Без корректировки'!O11,3)</f>
        <v>95.263999999999996</v>
      </c>
      <c r="P11" s="313">
        <f>ROUND('2. Прогноз. Без корректировки'!P11,3)</f>
        <v>121.319</v>
      </c>
      <c r="Q11" s="314">
        <f>ROUND('2. Прогноз. Без корректировки'!Q11,3)</f>
        <v>400.31400000000002</v>
      </c>
    </row>
    <row r="12" spans="1:17" s="47" customFormat="1" ht="15" customHeight="1" outlineLevel="1" x14ac:dyDescent="0.25">
      <c r="A12" s="427" t="s">
        <v>132</v>
      </c>
      <c r="B12" s="266" t="s">
        <v>98</v>
      </c>
      <c r="C12" s="313">
        <f>ROUND('2. Прогноз. Без корректировки'!C12,3)</f>
        <v>4.1000000000000002E-2</v>
      </c>
      <c r="D12" s="320">
        <f>ROUND('2. Прогноз. Без корректировки'!D12,3)</f>
        <v>6.2E-2</v>
      </c>
      <c r="E12" s="320">
        <f>ROUND('2. Прогноз. Без корректировки'!E12,3)</f>
        <v>5.7000000000000002E-2</v>
      </c>
      <c r="F12" s="320">
        <f>ROUND('2. Прогноз. Без корректировки'!F12,3)</f>
        <v>3.5999999999999997E-2</v>
      </c>
      <c r="G12" s="314">
        <f>ROUND(SUM(C12:F12),3)</f>
        <v>0.19600000000000001</v>
      </c>
      <c r="H12" s="320">
        <f>ROUND('2. Прогноз. Без корректировки'!H12,3)</f>
        <v>4.1000000000000002E-2</v>
      </c>
      <c r="I12" s="320">
        <f>ROUND('2. Прогноз. Без корректировки'!I12,3)</f>
        <v>6.2E-2</v>
      </c>
      <c r="J12" s="320">
        <f>ROUND('2. Прогноз. Без корректировки'!J12,3)</f>
        <v>5.7000000000000002E-2</v>
      </c>
      <c r="K12" s="320">
        <f>ROUND('2. Прогноз. Без корректировки'!K12,3)</f>
        <v>3.5999999999999997E-2</v>
      </c>
      <c r="L12" s="314">
        <f>ROUND(SUM(H12:K12),3)</f>
        <v>0.19600000000000001</v>
      </c>
      <c r="M12" s="320">
        <f>ROUND('2. Прогноз. Без корректировки'!M12,3)</f>
        <v>4.1000000000000002E-2</v>
      </c>
      <c r="N12" s="320">
        <f>ROUND('2. Прогноз. Без корректировки'!N12,3)</f>
        <v>6.2E-2</v>
      </c>
      <c r="O12" s="320">
        <f>ROUND('2. Прогноз. Без корректировки'!O12,3)</f>
        <v>5.7000000000000002E-2</v>
      </c>
      <c r="P12" s="320">
        <f>ROUND('2. Прогноз. Без корректировки'!P12,3)</f>
        <v>3.5999999999999997E-2</v>
      </c>
      <c r="Q12" s="314">
        <f>ROUND(SUM(M12:P12),3)</f>
        <v>0.19600000000000001</v>
      </c>
    </row>
    <row r="13" spans="1:17" ht="15" customHeight="1" outlineLevel="1" x14ac:dyDescent="0.25">
      <c r="A13" s="315" t="s">
        <v>129</v>
      </c>
      <c r="B13" s="270" t="s">
        <v>80</v>
      </c>
      <c r="C13" s="316"/>
      <c r="D13" s="317"/>
      <c r="E13" s="317"/>
      <c r="F13" s="318"/>
      <c r="G13" s="319">
        <f>ROUND('2. Прогноз. Без корректировки'!G13,3)</f>
        <v>1494.8779999999999</v>
      </c>
      <c r="H13" s="316"/>
      <c r="I13" s="317"/>
      <c r="J13" s="317"/>
      <c r="K13" s="318"/>
      <c r="L13" s="274">
        <f>ROUND('2. Прогноз. Без корректировки'!L13,3)</f>
        <v>1481.45</v>
      </c>
      <c r="M13" s="316"/>
      <c r="N13" s="317"/>
      <c r="O13" s="317"/>
      <c r="P13" s="318"/>
      <c r="Q13" s="274">
        <f>ROUND('2. Прогноз. Без корректировки'!Q13,3)</f>
        <v>1481.45</v>
      </c>
    </row>
    <row r="14" spans="1:17" ht="15" customHeight="1" outlineLevel="1" x14ac:dyDescent="0.25">
      <c r="A14" s="315" t="s">
        <v>130</v>
      </c>
      <c r="B14" s="270" t="s">
        <v>100</v>
      </c>
      <c r="C14" s="316"/>
      <c r="D14" s="317"/>
      <c r="E14" s="317"/>
      <c r="F14" s="318"/>
      <c r="G14" s="274">
        <f>ROUND('2. Прогноз. Без корректировки'!G14,3)</f>
        <v>270.35000000000002</v>
      </c>
      <c r="H14" s="316"/>
      <c r="I14" s="317"/>
      <c r="J14" s="317"/>
      <c r="K14" s="318"/>
      <c r="L14" s="274">
        <f>ROUND('2. Прогноз. Без корректировки'!L14,3)</f>
        <v>270.35000000000002</v>
      </c>
      <c r="M14" s="316"/>
      <c r="N14" s="317"/>
      <c r="O14" s="317"/>
      <c r="P14" s="318"/>
      <c r="Q14" s="274">
        <f>ROUND('2. Прогноз. Без корректировки'!Q14,3)</f>
        <v>270.35000000000002</v>
      </c>
    </row>
    <row r="15" spans="1:17" ht="15" customHeight="1" x14ac:dyDescent="0.25">
      <c r="A15" s="309" t="s">
        <v>39</v>
      </c>
      <c r="B15" s="265" t="s">
        <v>98</v>
      </c>
      <c r="C15" s="310">
        <f t="shared" ref="C15:Q15" si="0">ROUND(C16+C17,3)</f>
        <v>1.8</v>
      </c>
      <c r="D15" s="311">
        <f t="shared" si="0"/>
        <v>2.802</v>
      </c>
      <c r="E15" s="311">
        <f t="shared" si="0"/>
        <v>1.0980000000000001</v>
      </c>
      <c r="F15" s="321">
        <f t="shared" si="0"/>
        <v>2.2999999999999998</v>
      </c>
      <c r="G15" s="312">
        <f t="shared" si="0"/>
        <v>8</v>
      </c>
      <c r="H15" s="310">
        <f t="shared" si="0"/>
        <v>2.4</v>
      </c>
      <c r="I15" s="311">
        <f t="shared" si="0"/>
        <v>3.61</v>
      </c>
      <c r="J15" s="311">
        <f t="shared" si="0"/>
        <v>1.4910000000000001</v>
      </c>
      <c r="K15" s="321">
        <f t="shared" si="0"/>
        <v>4.0999999999999996</v>
      </c>
      <c r="L15" s="312">
        <f t="shared" si="0"/>
        <v>11.601000000000001</v>
      </c>
      <c r="M15" s="310">
        <f t="shared" si="0"/>
        <v>2.4</v>
      </c>
      <c r="N15" s="311">
        <f t="shared" si="0"/>
        <v>3.6749999999999998</v>
      </c>
      <c r="O15" s="311">
        <f t="shared" si="0"/>
        <v>1.575</v>
      </c>
      <c r="P15" s="321">
        <f t="shared" si="0"/>
        <v>4.0999999999999996</v>
      </c>
      <c r="Q15" s="312">
        <f t="shared" si="0"/>
        <v>11.75</v>
      </c>
    </row>
    <row r="16" spans="1:17" s="76" customFormat="1" ht="15" customHeight="1" outlineLevel="1" x14ac:dyDescent="0.25">
      <c r="A16" s="322" t="s">
        <v>40</v>
      </c>
      <c r="B16" s="270" t="s">
        <v>98</v>
      </c>
      <c r="C16" s="323">
        <f>ROUND('1. Статистика'!N29,3)</f>
        <v>1.8</v>
      </c>
      <c r="D16" s="324">
        <f>ROUND('1. Статистика'!O29,3)</f>
        <v>1.2</v>
      </c>
      <c r="E16" s="324">
        <f>ROUND('1. Статистика'!P29,3)</f>
        <v>1.2</v>
      </c>
      <c r="F16" s="325">
        <f>ROUND('1. Статистика'!Q29,3)</f>
        <v>2</v>
      </c>
      <c r="G16" s="326">
        <f>ROUND(SUM(C16:F16),3)</f>
        <v>6.2</v>
      </c>
      <c r="H16" s="323">
        <f>ROUND(C15,3)</f>
        <v>1.8</v>
      </c>
      <c r="I16" s="324">
        <f>ROUND(D15,3)</f>
        <v>2.802</v>
      </c>
      <c r="J16" s="324">
        <f>ROUND(E15,3)</f>
        <v>1.0980000000000001</v>
      </c>
      <c r="K16" s="325">
        <f>ROUND(F15,3)</f>
        <v>2.2999999999999998</v>
      </c>
      <c r="L16" s="326">
        <f>ROUND(SUM(H16:K16),3)</f>
        <v>8</v>
      </c>
      <c r="M16" s="323">
        <f>ROUND(H15,3)</f>
        <v>2.4</v>
      </c>
      <c r="N16" s="324">
        <f>ROUND(I15,3)</f>
        <v>3.61</v>
      </c>
      <c r="O16" s="324">
        <f>ROUND(J15,3)</f>
        <v>1.4910000000000001</v>
      </c>
      <c r="P16" s="325">
        <f>ROUND(K15,3)</f>
        <v>4.0999999999999996</v>
      </c>
      <c r="Q16" s="326">
        <f>ROUND(SUM(M16:P16),3)</f>
        <v>11.601000000000001</v>
      </c>
    </row>
    <row r="17" spans="1:17" s="76" customFormat="1" outlineLevel="1" x14ac:dyDescent="0.25">
      <c r="A17" s="322" t="s">
        <v>41</v>
      </c>
      <c r="B17" s="270" t="s">
        <v>98</v>
      </c>
      <c r="C17" s="323">
        <f>ROUND('1. Статистика'!C86-C16,3)</f>
        <v>0</v>
      </c>
      <c r="D17" s="324">
        <f>ROUND('1. Статистика'!D86-D16,3)</f>
        <v>1.6020000000000001</v>
      </c>
      <c r="E17" s="324">
        <f>ROUND('1. Статистика'!E86-E16,3)</f>
        <v>-0.10199999999999999</v>
      </c>
      <c r="F17" s="325">
        <f>ROUND('1. Статистика'!F86-F16,3)</f>
        <v>0.3</v>
      </c>
      <c r="G17" s="326">
        <f>ROUND(SUM(C17:F17),3)</f>
        <v>1.8</v>
      </c>
      <c r="H17" s="323">
        <f>ROUND('1. Статистика'!G86-H16,3)</f>
        <v>0.6</v>
      </c>
      <c r="I17" s="324">
        <f>ROUND('1. Статистика'!H86-I16,3)</f>
        <v>0.80800000000000005</v>
      </c>
      <c r="J17" s="324">
        <f>ROUND('1. Статистика'!I86-J16,3)</f>
        <v>0.39300000000000002</v>
      </c>
      <c r="K17" s="325">
        <f>ROUND('1. Статистика'!J86-K16,3)</f>
        <v>1.8</v>
      </c>
      <c r="L17" s="326">
        <f>ROUND(SUM(H17:K17),3)</f>
        <v>3.601</v>
      </c>
      <c r="M17" s="323">
        <f>ROUND('1. Статистика'!K86-M16,3)</f>
        <v>0</v>
      </c>
      <c r="N17" s="324">
        <f>ROUND('1. Статистика'!L86-N16,3)</f>
        <v>6.5000000000000002E-2</v>
      </c>
      <c r="O17" s="324">
        <f>ROUND('1. Статистика'!M86-O16,3)</f>
        <v>8.4000000000000005E-2</v>
      </c>
      <c r="P17" s="325">
        <f>ROUND('1. Статистика'!N86-P16,3)</f>
        <v>0</v>
      </c>
      <c r="Q17" s="326">
        <f>ROUND(SUM(M17:P17),3)</f>
        <v>0.14899999999999999</v>
      </c>
    </row>
    <row r="18" spans="1:17" x14ac:dyDescent="0.25">
      <c r="A18" s="327" t="s">
        <v>37</v>
      </c>
      <c r="B18" s="280" t="s">
        <v>98</v>
      </c>
      <c r="C18" s="281">
        <f t="shared" ref="C18:Q18" si="1">ROUND(C9+C10+C15,3)</f>
        <v>106.65600000000001</v>
      </c>
      <c r="D18" s="282">
        <f t="shared" si="1"/>
        <v>101.83</v>
      </c>
      <c r="E18" s="282">
        <f t="shared" si="1"/>
        <v>98.048000000000002</v>
      </c>
      <c r="F18" s="283">
        <f t="shared" si="1"/>
        <v>127.96</v>
      </c>
      <c r="G18" s="284">
        <f t="shared" si="1"/>
        <v>424.04399999999998</v>
      </c>
      <c r="H18" s="281">
        <f t="shared" si="1"/>
        <v>106.473</v>
      </c>
      <c r="I18" s="282">
        <f t="shared" si="1"/>
        <v>101.623</v>
      </c>
      <c r="J18" s="282">
        <f t="shared" si="1"/>
        <v>97.578000000000003</v>
      </c>
      <c r="K18" s="283">
        <f t="shared" si="1"/>
        <v>127.983</v>
      </c>
      <c r="L18" s="284">
        <f t="shared" si="1"/>
        <v>424.06700000000001</v>
      </c>
      <c r="M18" s="281">
        <f t="shared" si="1"/>
        <v>106.495</v>
      </c>
      <c r="N18" s="282">
        <f t="shared" si="1"/>
        <v>101.709</v>
      </c>
      <c r="O18" s="282">
        <f t="shared" si="1"/>
        <v>97.662000000000006</v>
      </c>
      <c r="P18" s="283">
        <f t="shared" si="1"/>
        <v>128.15299999999999</v>
      </c>
      <c r="Q18" s="284">
        <f t="shared" si="1"/>
        <v>424.238</v>
      </c>
    </row>
    <row r="19" spans="1:17" ht="15" customHeight="1" x14ac:dyDescent="0.25">
      <c r="A19" s="309" t="s">
        <v>110</v>
      </c>
      <c r="B19" s="285" t="s">
        <v>98</v>
      </c>
      <c r="C19" s="310">
        <f t="shared" ref="C19:Q19" si="2">ROUND(C20+C21,3)</f>
        <v>0.3</v>
      </c>
      <c r="D19" s="311">
        <f t="shared" si="2"/>
        <v>0.3</v>
      </c>
      <c r="E19" s="311">
        <f t="shared" si="2"/>
        <v>0.35</v>
      </c>
      <c r="F19" s="311">
        <f t="shared" si="2"/>
        <v>0.15</v>
      </c>
      <c r="G19" s="312">
        <f t="shared" si="2"/>
        <v>1.1000000000000001</v>
      </c>
      <c r="H19" s="310">
        <f t="shared" si="2"/>
        <v>0.3</v>
      </c>
      <c r="I19" s="310">
        <f t="shared" si="2"/>
        <v>0.3</v>
      </c>
      <c r="J19" s="310">
        <f t="shared" si="2"/>
        <v>0.35</v>
      </c>
      <c r="K19" s="310">
        <f t="shared" si="2"/>
        <v>0.15</v>
      </c>
      <c r="L19" s="312">
        <f t="shared" si="2"/>
        <v>1.1000000000000001</v>
      </c>
      <c r="M19" s="310">
        <f t="shared" si="2"/>
        <v>0.3</v>
      </c>
      <c r="N19" s="310">
        <f t="shared" si="2"/>
        <v>0.3</v>
      </c>
      <c r="O19" s="310">
        <f t="shared" si="2"/>
        <v>0.35</v>
      </c>
      <c r="P19" s="310">
        <f t="shared" si="2"/>
        <v>0.15</v>
      </c>
      <c r="Q19" s="312">
        <f t="shared" si="2"/>
        <v>1.1000000000000001</v>
      </c>
    </row>
    <row r="20" spans="1:17" s="3" customFormat="1" ht="16.149999999999999" customHeight="1" outlineLevel="1" x14ac:dyDescent="0.25">
      <c r="A20" s="322" t="s">
        <v>77</v>
      </c>
      <c r="B20" s="270" t="s">
        <v>98</v>
      </c>
      <c r="C20" s="323">
        <f>ROUND('1. Статистика'!N31,3)</f>
        <v>0.3</v>
      </c>
      <c r="D20" s="324">
        <f>ROUND('1. Статистика'!O31,3)</f>
        <v>0.3</v>
      </c>
      <c r="E20" s="324">
        <f>ROUND('1. Статистика'!P31,3)</f>
        <v>0.35</v>
      </c>
      <c r="F20" s="324">
        <f>ROUND('1. Статистика'!Q31,3)</f>
        <v>0.15</v>
      </c>
      <c r="G20" s="326">
        <f>ROUND(SUM(C20:F20),3)</f>
        <v>1.1000000000000001</v>
      </c>
      <c r="H20" s="323">
        <f>ROUND(C19,3)</f>
        <v>0.3</v>
      </c>
      <c r="I20" s="324">
        <f>ROUND(D19,3)</f>
        <v>0.3</v>
      </c>
      <c r="J20" s="324">
        <f>ROUND(E19,3)</f>
        <v>0.35</v>
      </c>
      <c r="K20" s="325">
        <f>ROUND(F19,3)</f>
        <v>0.15</v>
      </c>
      <c r="L20" s="326">
        <f>ROUND(SUM(H20:K20),3)</f>
        <v>1.1000000000000001</v>
      </c>
      <c r="M20" s="323">
        <f>ROUND(H19,3)</f>
        <v>0.3</v>
      </c>
      <c r="N20" s="324">
        <f>ROUND(I19,3)</f>
        <v>0.3</v>
      </c>
      <c r="O20" s="324">
        <f>ROUND(J19,3)</f>
        <v>0.35</v>
      </c>
      <c r="P20" s="325">
        <f>ROUND(K19,3)</f>
        <v>0.15</v>
      </c>
      <c r="Q20" s="326">
        <f>ROUND(SUM(M20:P20),3)</f>
        <v>1.1000000000000001</v>
      </c>
    </row>
    <row r="21" spans="1:17" s="3" customFormat="1" ht="17.100000000000001" customHeight="1" outlineLevel="1" x14ac:dyDescent="0.25">
      <c r="A21" s="322" t="s">
        <v>78</v>
      </c>
      <c r="B21" s="270" t="s">
        <v>98</v>
      </c>
      <c r="C21" s="323">
        <f>ROUND('2. Прогноз. Без корректировки'!C21,3)</f>
        <v>0</v>
      </c>
      <c r="D21" s="324">
        <f>ROUND('2. Прогноз. Без корректировки'!D21,3)</f>
        <v>0</v>
      </c>
      <c r="E21" s="324">
        <f>ROUND('2. Прогноз. Без корректировки'!E21,3)</f>
        <v>0</v>
      </c>
      <c r="F21" s="324">
        <f>ROUND('2. Прогноз. Без корректировки'!F21,3)</f>
        <v>0</v>
      </c>
      <c r="G21" s="326">
        <f>ROUND(SUM(C21:F21),3)</f>
        <v>0</v>
      </c>
      <c r="H21" s="324">
        <f>ROUND('2. Прогноз. Без корректировки'!H21,3)</f>
        <v>0</v>
      </c>
      <c r="I21" s="324">
        <f>ROUND('2. Прогноз. Без корректировки'!I21,3)</f>
        <v>0</v>
      </c>
      <c r="J21" s="324">
        <f>ROUND('2. Прогноз. Без корректировки'!J21,3)</f>
        <v>0</v>
      </c>
      <c r="K21" s="324">
        <f>ROUND('2. Прогноз. Без корректировки'!K21,3)</f>
        <v>0</v>
      </c>
      <c r="L21" s="326">
        <f>ROUND(SUM(H21:K21),3)</f>
        <v>0</v>
      </c>
      <c r="M21" s="324">
        <f>ROUND('2. Прогноз. Без корректировки'!M21,3)</f>
        <v>0</v>
      </c>
      <c r="N21" s="324">
        <f>ROUND('2. Прогноз. Без корректировки'!N21,3)</f>
        <v>0</v>
      </c>
      <c r="O21" s="324">
        <f>ROUND('2. Прогноз. Без корректировки'!O21,3)</f>
        <v>0</v>
      </c>
      <c r="P21" s="324">
        <f>ROUND('2. Прогноз. Без корректировки'!P21,3)</f>
        <v>0</v>
      </c>
      <c r="Q21" s="326">
        <f>ROUND(SUM(M21:P21),3)</f>
        <v>0</v>
      </c>
    </row>
    <row r="22" spans="1:17" x14ac:dyDescent="0.25">
      <c r="A22" s="309" t="s">
        <v>111</v>
      </c>
      <c r="B22" s="287" t="s">
        <v>98</v>
      </c>
      <c r="C22" s="329">
        <f>ROUND('2. Прогноз. Без корректировки'!C22,3)</f>
        <v>0.93100000000000005</v>
      </c>
      <c r="D22" s="330">
        <f>ROUND('2. Прогноз. Без корректировки'!D22,3)</f>
        <v>0.95799999999999996</v>
      </c>
      <c r="E22" s="330">
        <f>ROUND('2. Прогноз. Без корректировки'!E22,3)</f>
        <v>0.95799999999999996</v>
      </c>
      <c r="F22" s="331">
        <f>ROUND('2. Прогноз. Без корректировки'!F22,3)</f>
        <v>0.96899999999999997</v>
      </c>
      <c r="G22" s="332">
        <f>ROUND('2. Прогноз. Без корректировки'!G22,3)</f>
        <v>3.8159999999999998</v>
      </c>
      <c r="H22" s="329">
        <f>ROUND('2. Прогноз. Без корректировки'!H22,3)</f>
        <v>0.93100000000000005</v>
      </c>
      <c r="I22" s="330">
        <f>ROUND('2. Прогноз. Без корректировки'!I22,3)</f>
        <v>0.95799999999999996</v>
      </c>
      <c r="J22" s="330">
        <f>ROUND('2. Прогноз. Без корректировки'!J22,3)</f>
        <v>0.95799999999999996</v>
      </c>
      <c r="K22" s="331">
        <f>ROUND('2. Прогноз. Без корректировки'!K22,3)</f>
        <v>0.97</v>
      </c>
      <c r="L22" s="332">
        <f>ROUND('2. Прогноз. Без корректировки'!L22,3)</f>
        <v>3.8170000000000002</v>
      </c>
      <c r="M22" s="329">
        <f>ROUND('2. Прогноз. Без корректировки'!M22,3)</f>
        <v>0.93200000000000005</v>
      </c>
      <c r="N22" s="330">
        <f>ROUND('2. Прогноз. Без корректировки'!N22,3)</f>
        <v>0.95799999999999996</v>
      </c>
      <c r="O22" s="330">
        <f>ROUND('2. Прогноз. Без корректировки'!O22,3)</f>
        <v>0.95799999999999996</v>
      </c>
      <c r="P22" s="331">
        <f>ROUND('2. Прогноз. Без корректировки'!P22,3)</f>
        <v>0.97</v>
      </c>
      <c r="Q22" s="332">
        <f>ROUND('2. Прогноз. Без корректировки'!Q22,3)</f>
        <v>3.8180000000000001</v>
      </c>
    </row>
    <row r="23" spans="1:17" outlineLevel="1" x14ac:dyDescent="0.25">
      <c r="A23" s="333" t="s">
        <v>43</v>
      </c>
      <c r="B23" s="270" t="s">
        <v>83</v>
      </c>
      <c r="C23" s="334"/>
      <c r="D23" s="335"/>
      <c r="E23" s="336"/>
      <c r="F23" s="337"/>
      <c r="G23" s="338">
        <f>ROUND('2. Прогноз. Без корректировки'!G23,3)</f>
        <v>8.9999999999999993E-3</v>
      </c>
      <c r="H23" s="334"/>
      <c r="I23" s="335"/>
      <c r="J23" s="335"/>
      <c r="K23" s="337"/>
      <c r="L23" s="338">
        <f>ROUND('2. Прогноз. Без корректировки'!L23,3)</f>
        <v>8.9999999999999993E-3</v>
      </c>
      <c r="M23" s="334"/>
      <c r="N23" s="335"/>
      <c r="O23" s="335"/>
      <c r="P23" s="337"/>
      <c r="Q23" s="338">
        <f>ROUND('2. Прогноз. Без корректировки'!Q23,3)</f>
        <v>8.9999999999999993E-3</v>
      </c>
    </row>
    <row r="24" spans="1:17" x14ac:dyDescent="0.25">
      <c r="A24" s="309" t="s">
        <v>112</v>
      </c>
      <c r="B24" s="287" t="s">
        <v>98</v>
      </c>
      <c r="C24" s="235">
        <f t="shared" ref="C24:Q24" si="3">ROUND(C25+C26,3)</f>
        <v>40</v>
      </c>
      <c r="D24" s="236">
        <f t="shared" si="3"/>
        <v>36.898000000000003</v>
      </c>
      <c r="E24" s="236">
        <f t="shared" si="3"/>
        <v>33.101999999999997</v>
      </c>
      <c r="F24" s="277">
        <f t="shared" si="3"/>
        <v>49.5</v>
      </c>
      <c r="G24" s="121">
        <f t="shared" si="3"/>
        <v>159.5</v>
      </c>
      <c r="H24" s="235">
        <f t="shared" si="3"/>
        <v>40</v>
      </c>
      <c r="I24" s="236">
        <f t="shared" si="3"/>
        <v>36.69</v>
      </c>
      <c r="J24" s="236">
        <f t="shared" si="3"/>
        <v>33.31</v>
      </c>
      <c r="K24" s="277">
        <f t="shared" si="3"/>
        <v>49.5</v>
      </c>
      <c r="L24" s="121">
        <f t="shared" si="3"/>
        <v>159.5</v>
      </c>
      <c r="M24" s="235">
        <f t="shared" si="3"/>
        <v>40</v>
      </c>
      <c r="N24" s="236">
        <f t="shared" si="3"/>
        <v>36.776000000000003</v>
      </c>
      <c r="O24" s="236">
        <f t="shared" si="3"/>
        <v>33.223999999999997</v>
      </c>
      <c r="P24" s="277">
        <f t="shared" si="3"/>
        <v>49.67</v>
      </c>
      <c r="Q24" s="121">
        <f t="shared" si="3"/>
        <v>159.66999999999999</v>
      </c>
    </row>
    <row r="25" spans="1:17" s="76" customFormat="1" outlineLevel="1" x14ac:dyDescent="0.25">
      <c r="A25" s="322" t="s">
        <v>44</v>
      </c>
      <c r="B25" s="270" t="s">
        <v>98</v>
      </c>
      <c r="C25" s="323">
        <f>ROUND('1. Статистика'!N33,3)</f>
        <v>40</v>
      </c>
      <c r="D25" s="324">
        <f>ROUND('1. Статистика'!O33,3)</f>
        <v>37</v>
      </c>
      <c r="E25" s="324">
        <f>ROUND('1. Статистика'!P33,3)</f>
        <v>33</v>
      </c>
      <c r="F25" s="325">
        <f>ROUND('1. Статистика'!Q33,3)</f>
        <v>49.5</v>
      </c>
      <c r="G25" s="326">
        <f>ROUND(SUM(C25:F25),3)</f>
        <v>159.5</v>
      </c>
      <c r="H25" s="323">
        <f>ROUND(C24,3)</f>
        <v>40</v>
      </c>
      <c r="I25" s="324">
        <f>ROUND(D24,3)</f>
        <v>36.898000000000003</v>
      </c>
      <c r="J25" s="324">
        <f>ROUND(E24,3)</f>
        <v>33.101999999999997</v>
      </c>
      <c r="K25" s="325">
        <f>ROUND(F24,3)</f>
        <v>49.5</v>
      </c>
      <c r="L25" s="326">
        <f>ROUND(SUM(H25:K25),3)</f>
        <v>159.5</v>
      </c>
      <c r="M25" s="323">
        <f>ROUND(H24,3)</f>
        <v>40</v>
      </c>
      <c r="N25" s="324">
        <f>ROUND(I24,3)</f>
        <v>36.69</v>
      </c>
      <c r="O25" s="324">
        <f>ROUND(J24,3)</f>
        <v>33.31</v>
      </c>
      <c r="P25" s="325">
        <f>ROUND(K24,3)</f>
        <v>49.5</v>
      </c>
      <c r="Q25" s="326">
        <f>ROUND(SUM(M25:P25),3)</f>
        <v>159.5</v>
      </c>
    </row>
    <row r="26" spans="1:17" s="76" customFormat="1" outlineLevel="1" x14ac:dyDescent="0.25">
      <c r="A26" s="322" t="s">
        <v>45</v>
      </c>
      <c r="B26" s="270" t="s">
        <v>98</v>
      </c>
      <c r="C26" s="323">
        <f>ROUND('1. Статистика'!C87-C25,3)</f>
        <v>0</v>
      </c>
      <c r="D26" s="324">
        <f>ROUND('1. Статистика'!D87-D25,3)</f>
        <v>-0.10199999999999999</v>
      </c>
      <c r="E26" s="324">
        <f>ROUND('1. Статистика'!E87-E25,3)</f>
        <v>0.10199999999999999</v>
      </c>
      <c r="F26" s="325">
        <f>ROUND('1. Статистика'!F87-F25,3)</f>
        <v>0</v>
      </c>
      <c r="G26" s="326">
        <f>ROUND(SUM(C26:F26),3)</f>
        <v>0</v>
      </c>
      <c r="H26" s="323">
        <f>ROUND('1. Статистика'!G87-H25,3)</f>
        <v>0</v>
      </c>
      <c r="I26" s="324">
        <f>ROUND('1. Статистика'!H87-I25,3)</f>
        <v>-0.20799999999999999</v>
      </c>
      <c r="J26" s="324">
        <f>ROUND('1. Статистика'!I87-J25,3)</f>
        <v>0.20799999999999999</v>
      </c>
      <c r="K26" s="325">
        <f>ROUND('1. Статистика'!J87-K25,3)</f>
        <v>0</v>
      </c>
      <c r="L26" s="326">
        <f>ROUND(SUM(H26:K26),3)</f>
        <v>0</v>
      </c>
      <c r="M26" s="323">
        <f>ROUND('1. Статистика'!K87-M25,3)</f>
        <v>0</v>
      </c>
      <c r="N26" s="324">
        <f>ROUND('1. Статистика'!L87-N25,3)</f>
        <v>8.5999999999999993E-2</v>
      </c>
      <c r="O26" s="324">
        <f>ROUND('1. Статистика'!M87-O25,3)</f>
        <v>-8.5999999999999993E-2</v>
      </c>
      <c r="P26" s="325">
        <f>ROUND('1. Статистика'!N87-P25,3)</f>
        <v>0.17</v>
      </c>
      <c r="Q26" s="326">
        <f>ROUND(SUM(M26:P26),3)</f>
        <v>0.17</v>
      </c>
    </row>
    <row r="27" spans="1:17" x14ac:dyDescent="0.25">
      <c r="A27" s="309" t="s">
        <v>113</v>
      </c>
      <c r="B27" s="287" t="s">
        <v>98</v>
      </c>
      <c r="C27" s="310">
        <f>ROUND('2. Прогноз. Без корректировки'!C27,3)</f>
        <v>58.945999999999998</v>
      </c>
      <c r="D27" s="311">
        <f>ROUND('2. Прогноз. Без корректировки'!D27,3)</f>
        <v>62.908999999999999</v>
      </c>
      <c r="E27" s="311">
        <f>ROUND('2. Прогноз. Без корректировки'!E27,3)</f>
        <v>60.432000000000002</v>
      </c>
      <c r="F27" s="321">
        <f>ROUND('2. Прогноз. Без корректировки'!F27,3)</f>
        <v>65.385000000000005</v>
      </c>
      <c r="G27" s="312">
        <f>ROUND('2. Прогноз. Без корректировки'!G27,3)</f>
        <v>247.672</v>
      </c>
      <c r="H27" s="310">
        <f>ROUND('2. Прогноз. Без корректировки'!H27,3)</f>
        <v>58.945999999999998</v>
      </c>
      <c r="I27" s="311">
        <f>ROUND('2. Прогноз. Без корректировки'!I27,3)</f>
        <v>62.908999999999999</v>
      </c>
      <c r="J27" s="311">
        <f>ROUND('2. Прогноз. Без корректировки'!J27,3)</f>
        <v>60.432000000000002</v>
      </c>
      <c r="K27" s="321">
        <f>ROUND('2. Прогноз. Без корректировки'!K27,3)</f>
        <v>65.385000000000005</v>
      </c>
      <c r="L27" s="312">
        <f>ROUND('2. Прогноз. Без корректировки'!L27,3)</f>
        <v>247.672</v>
      </c>
      <c r="M27" s="310">
        <f>ROUND('2. Прогноз. Без корректировки'!M27,3)</f>
        <v>58.945999999999998</v>
      </c>
      <c r="N27" s="311">
        <f>ROUND('2. Прогноз. Без корректировки'!N27,3)</f>
        <v>62.908999999999999</v>
      </c>
      <c r="O27" s="311">
        <f>ROUND('2. Прогноз. Без корректировки'!O27,3)</f>
        <v>60.432000000000002</v>
      </c>
      <c r="P27" s="321">
        <f>ROUND('2. Прогноз. Без корректировки'!P27,3)</f>
        <v>65.385000000000005</v>
      </c>
      <c r="Q27" s="312">
        <f>ROUND('2. Прогноз. Без корректировки'!Q27,3)</f>
        <v>247.672</v>
      </c>
    </row>
    <row r="28" spans="1:17" s="76" customFormat="1" outlineLevel="1" x14ac:dyDescent="0.25">
      <c r="A28" s="322" t="s">
        <v>108</v>
      </c>
      <c r="B28" s="270" t="s">
        <v>106</v>
      </c>
      <c r="C28" s="334"/>
      <c r="D28" s="335"/>
      <c r="E28" s="336"/>
      <c r="F28" s="337"/>
      <c r="G28" s="326">
        <f>ROUND('2. Прогноз. Без корректировки'!G28,3)</f>
        <v>243.822</v>
      </c>
      <c r="H28" s="334"/>
      <c r="I28" s="335"/>
      <c r="J28" s="336"/>
      <c r="K28" s="337"/>
      <c r="L28" s="326">
        <f>ROUND('2. Прогноз. Без корректировки'!L28,3)</f>
        <v>243.822</v>
      </c>
      <c r="M28" s="334"/>
      <c r="N28" s="335"/>
      <c r="O28" s="336"/>
      <c r="P28" s="337"/>
      <c r="Q28" s="326">
        <f>ROUND('2. Прогноз. Без корректировки'!Q28,3)</f>
        <v>243.822</v>
      </c>
    </row>
    <row r="29" spans="1:17" s="76" customFormat="1" outlineLevel="1" x14ac:dyDescent="0.25">
      <c r="A29" s="328" t="s">
        <v>107</v>
      </c>
      <c r="B29" s="270" t="s">
        <v>104</v>
      </c>
      <c r="C29" s="334"/>
      <c r="D29" s="335"/>
      <c r="E29" s="336"/>
      <c r="F29" s="337"/>
      <c r="G29" s="326">
        <f>ROUND('2. Прогноз. Без корректировки'!G29,3)</f>
        <v>1015.79</v>
      </c>
      <c r="H29" s="334"/>
      <c r="I29" s="335"/>
      <c r="J29" s="336"/>
      <c r="K29" s="337"/>
      <c r="L29" s="326">
        <f>ROUND('2. Прогноз. Без корректировки'!L29,3)</f>
        <v>1015.79</v>
      </c>
      <c r="M29" s="334"/>
      <c r="N29" s="335"/>
      <c r="O29" s="336"/>
      <c r="P29" s="337"/>
      <c r="Q29" s="326">
        <f>ROUND('2. Прогноз. Без корректировки'!Q29,3)</f>
        <v>1015.79</v>
      </c>
    </row>
    <row r="30" spans="1:17" x14ac:dyDescent="0.25">
      <c r="A30" s="327" t="s">
        <v>42</v>
      </c>
      <c r="B30" s="280" t="s">
        <v>98</v>
      </c>
      <c r="C30" s="281">
        <f t="shared" ref="C30:Q30" si="4">ROUND(C19+C24+C27+C22,3)</f>
        <v>100.17700000000001</v>
      </c>
      <c r="D30" s="282">
        <f t="shared" si="4"/>
        <v>101.065</v>
      </c>
      <c r="E30" s="282">
        <f t="shared" si="4"/>
        <v>94.841999999999999</v>
      </c>
      <c r="F30" s="282">
        <f t="shared" si="4"/>
        <v>116.004</v>
      </c>
      <c r="G30" s="284">
        <f t="shared" si="4"/>
        <v>412.08800000000002</v>
      </c>
      <c r="H30" s="282">
        <f t="shared" si="4"/>
        <v>100.17700000000001</v>
      </c>
      <c r="I30" s="282">
        <f t="shared" si="4"/>
        <v>100.857</v>
      </c>
      <c r="J30" s="282">
        <f t="shared" si="4"/>
        <v>95.05</v>
      </c>
      <c r="K30" s="282">
        <f t="shared" si="4"/>
        <v>116.005</v>
      </c>
      <c r="L30" s="284">
        <f t="shared" si="4"/>
        <v>412.089</v>
      </c>
      <c r="M30" s="282">
        <f t="shared" si="4"/>
        <v>100.178</v>
      </c>
      <c r="N30" s="282">
        <f t="shared" si="4"/>
        <v>100.943</v>
      </c>
      <c r="O30" s="282">
        <f t="shared" si="4"/>
        <v>94.963999999999999</v>
      </c>
      <c r="P30" s="282">
        <f t="shared" si="4"/>
        <v>116.175</v>
      </c>
      <c r="Q30" s="284">
        <f t="shared" si="4"/>
        <v>412.26</v>
      </c>
    </row>
    <row r="31" spans="1:17" ht="15.75" thickBot="1" x14ac:dyDescent="0.3">
      <c r="A31" s="339" t="s">
        <v>46</v>
      </c>
      <c r="B31" s="340" t="s">
        <v>98</v>
      </c>
      <c r="C31" s="300">
        <f t="shared" ref="C31:Q31" si="5">ROUND(C18-C30,3)</f>
        <v>6.4790000000000001</v>
      </c>
      <c r="D31" s="301">
        <f t="shared" si="5"/>
        <v>0.76500000000000001</v>
      </c>
      <c r="E31" s="301">
        <f t="shared" si="5"/>
        <v>3.206</v>
      </c>
      <c r="F31" s="302">
        <f t="shared" si="5"/>
        <v>11.956</v>
      </c>
      <c r="G31" s="303">
        <f t="shared" si="5"/>
        <v>11.956</v>
      </c>
      <c r="H31" s="300">
        <f t="shared" si="5"/>
        <v>6.2960000000000003</v>
      </c>
      <c r="I31" s="301">
        <f t="shared" si="5"/>
        <v>0.76600000000000001</v>
      </c>
      <c r="J31" s="301">
        <f t="shared" si="5"/>
        <v>2.528</v>
      </c>
      <c r="K31" s="302">
        <f t="shared" si="5"/>
        <v>11.978</v>
      </c>
      <c r="L31" s="303">
        <f t="shared" si="5"/>
        <v>11.978</v>
      </c>
      <c r="M31" s="300">
        <f t="shared" si="5"/>
        <v>6.3170000000000002</v>
      </c>
      <c r="N31" s="301">
        <f t="shared" si="5"/>
        <v>0.76600000000000001</v>
      </c>
      <c r="O31" s="301">
        <f t="shared" si="5"/>
        <v>2.698</v>
      </c>
      <c r="P31" s="302">
        <f t="shared" si="5"/>
        <v>11.978</v>
      </c>
      <c r="Q31" s="303">
        <f t="shared" si="5"/>
        <v>11.978</v>
      </c>
    </row>
    <row r="32" spans="1:17" x14ac:dyDescent="0.25">
      <c r="A32" s="9"/>
      <c r="B32" s="18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5">
      <c r="A33" s="9"/>
      <c r="B33" s="18"/>
      <c r="C33" s="31"/>
      <c r="D33" s="31"/>
      <c r="E33" s="31"/>
      <c r="F33" s="31"/>
      <c r="G33" s="31"/>
      <c r="H33" s="31"/>
      <c r="I33" s="31"/>
      <c r="J33" s="31"/>
      <c r="K33" s="31"/>
      <c r="L33" s="232"/>
      <c r="M33" s="31"/>
      <c r="N33" s="31"/>
      <c r="O33" s="31"/>
      <c r="P33" s="31"/>
      <c r="Q33" s="31"/>
    </row>
    <row r="34" spans="1:17" s="204" customFormat="1" x14ac:dyDescent="0.25">
      <c r="A34" s="201" t="s">
        <v>73</v>
      </c>
      <c r="B34" s="202"/>
      <c r="C34" s="233">
        <f t="shared" ref="C34:Q34" si="6">ROUND(C18-C30-C31,3)</f>
        <v>0</v>
      </c>
      <c r="D34" s="233">
        <f t="shared" si="6"/>
        <v>0</v>
      </c>
      <c r="E34" s="233">
        <f t="shared" si="6"/>
        <v>0</v>
      </c>
      <c r="F34" s="233">
        <f t="shared" si="6"/>
        <v>0</v>
      </c>
      <c r="G34" s="234">
        <f t="shared" si="6"/>
        <v>0</v>
      </c>
      <c r="H34" s="233">
        <f t="shared" si="6"/>
        <v>0</v>
      </c>
      <c r="I34" s="233">
        <f t="shared" si="6"/>
        <v>0</v>
      </c>
      <c r="J34" s="233">
        <f t="shared" si="6"/>
        <v>0</v>
      </c>
      <c r="K34" s="233">
        <f t="shared" si="6"/>
        <v>0</v>
      </c>
      <c r="L34" s="234">
        <f t="shared" si="6"/>
        <v>0</v>
      </c>
      <c r="M34" s="233">
        <f t="shared" si="6"/>
        <v>0</v>
      </c>
      <c r="N34" s="233">
        <f t="shared" si="6"/>
        <v>0</v>
      </c>
      <c r="O34" s="233">
        <f t="shared" si="6"/>
        <v>0</v>
      </c>
      <c r="P34" s="233">
        <f t="shared" si="6"/>
        <v>0</v>
      </c>
      <c r="Q34" s="234">
        <f t="shared" si="6"/>
        <v>0</v>
      </c>
    </row>
    <row r="35" spans="1:17" s="204" customFormat="1" x14ac:dyDescent="0.25">
      <c r="A35" s="205"/>
      <c r="B35" s="202"/>
      <c r="C35" s="203"/>
      <c r="D35" s="203"/>
      <c r="E35" s="203"/>
      <c r="F35" s="203"/>
      <c r="G35" s="231"/>
      <c r="H35" s="203"/>
      <c r="I35" s="203"/>
      <c r="J35" s="203"/>
      <c r="K35" s="203"/>
      <c r="L35" s="231"/>
      <c r="M35" s="203"/>
      <c r="N35" s="203"/>
      <c r="O35" s="203"/>
      <c r="P35" s="203"/>
      <c r="Q35" s="231"/>
    </row>
    <row r="36" spans="1:17" s="204" customFormat="1" x14ac:dyDescent="0.25">
      <c r="A36" s="206"/>
      <c r="B36" s="202"/>
      <c r="C36" s="203"/>
      <c r="D36" s="203"/>
      <c r="E36" s="203"/>
      <c r="F36" s="203"/>
      <c r="G36" s="231"/>
      <c r="H36" s="203"/>
      <c r="I36" s="203"/>
      <c r="J36" s="203"/>
      <c r="K36" s="203"/>
      <c r="L36" s="231"/>
      <c r="M36" s="203"/>
      <c r="N36" s="203"/>
      <c r="O36" s="203"/>
      <c r="P36" s="203"/>
      <c r="Q36" s="231"/>
    </row>
    <row r="37" spans="1:17" s="204" customFormat="1" x14ac:dyDescent="0.25">
      <c r="A37" s="201" t="s">
        <v>47</v>
      </c>
      <c r="B37" s="202"/>
      <c r="C37" s="233">
        <f t="shared" ref="C37:Q37" si="7">ROUND(C9+C10+C15-C19-C22-C24-C27-C31,3)</f>
        <v>0</v>
      </c>
      <c r="D37" s="233">
        <f t="shared" si="7"/>
        <v>0</v>
      </c>
      <c r="E37" s="233">
        <f t="shared" si="7"/>
        <v>0</v>
      </c>
      <c r="F37" s="233">
        <f t="shared" si="7"/>
        <v>0</v>
      </c>
      <c r="G37" s="234">
        <f t="shared" si="7"/>
        <v>0</v>
      </c>
      <c r="H37" s="233">
        <f t="shared" si="7"/>
        <v>0</v>
      </c>
      <c r="I37" s="233">
        <f t="shared" si="7"/>
        <v>0</v>
      </c>
      <c r="J37" s="233">
        <f t="shared" si="7"/>
        <v>0</v>
      </c>
      <c r="K37" s="233">
        <f t="shared" si="7"/>
        <v>0</v>
      </c>
      <c r="L37" s="234">
        <f t="shared" si="7"/>
        <v>0</v>
      </c>
      <c r="M37" s="233">
        <f t="shared" si="7"/>
        <v>0</v>
      </c>
      <c r="N37" s="233">
        <f t="shared" si="7"/>
        <v>0</v>
      </c>
      <c r="O37" s="233">
        <f t="shared" si="7"/>
        <v>0</v>
      </c>
      <c r="P37" s="233">
        <f t="shared" si="7"/>
        <v>0</v>
      </c>
      <c r="Q37" s="234">
        <f t="shared" si="7"/>
        <v>0</v>
      </c>
    </row>
  </sheetData>
  <sheetProtection algorithmName="SHA-512" hashValue="3BKZcJw3qIQjS2UUMT2Sdun9Z3oeArUnmEA9acqpnE+ba80DqbijlNlo5/6dKIYK/g6qHj+gHr587I8iqyy9eg==" saltValue="DHVYIJXKChT9PYK9vm5I7Q==" spinCount="100000" sheet="1" objects="1" scenarios="1"/>
  <mergeCells count="8">
    <mergeCell ref="M7:P7"/>
    <mergeCell ref="Q7:Q8"/>
    <mergeCell ref="A7:A8"/>
    <mergeCell ref="B7:B8"/>
    <mergeCell ref="C7:F7"/>
    <mergeCell ref="G7:G8"/>
    <mergeCell ref="H7:K7"/>
    <mergeCell ref="L7:L8"/>
  </mergeCells>
  <phoneticPr fontId="18" type="noConversion"/>
  <dataValidations count="2">
    <dataValidation type="decimal" operator="greaterThan" allowBlank="1" showInputMessage="1" showErrorMessage="1" sqref="K28:K29 G24 Q22 G22 L22 E24:E27 Q27 G19 L19 Q19 L24:Q24 G27 L27 H28:I29 M25:P27 M28:N29 P28:P29 H17:K27 E17:E22 F17:F29 M17:P23 C17:D29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0:L21 G20:G21 G16:G18 L16:L18 Q16:Q18 Q20:Q21">
      <formula1>-1000000000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R19"/>
  <sheetViews>
    <sheetView zoomScale="85" zoomScaleNormal="85" workbookViewId="0">
      <selection activeCell="A15" sqref="A15"/>
    </sheetView>
  </sheetViews>
  <sheetFormatPr defaultRowHeight="15" x14ac:dyDescent="0.25"/>
  <cols>
    <col min="1" max="1" width="40" customWidth="1"/>
    <col min="2" max="5" width="13" customWidth="1"/>
    <col min="6" max="6" width="10" customWidth="1"/>
    <col min="7" max="10" width="13" customWidth="1"/>
    <col min="11" max="11" width="10" customWidth="1"/>
    <col min="12" max="15" width="13" customWidth="1"/>
    <col min="16" max="16" width="10" customWidth="1"/>
    <col min="18" max="18" width="10.28515625" bestFit="1" customWidth="1"/>
  </cols>
  <sheetData>
    <row r="1" spans="1:18" s="215" customFormat="1" ht="12.75" x14ac:dyDescent="0.25">
      <c r="B1" s="216" t="s">
        <v>58</v>
      </c>
      <c r="C1" s="216" t="s">
        <v>59</v>
      </c>
      <c r="D1" s="216" t="s">
        <v>60</v>
      </c>
      <c r="E1" s="216" t="s">
        <v>61</v>
      </c>
      <c r="F1" s="216" t="s">
        <v>62</v>
      </c>
      <c r="G1" s="216" t="s">
        <v>63</v>
      </c>
      <c r="H1" s="216" t="s">
        <v>64</v>
      </c>
      <c r="I1" s="216" t="s">
        <v>65</v>
      </c>
      <c r="J1" s="216" t="s">
        <v>66</v>
      </c>
      <c r="K1" s="216" t="s">
        <v>67</v>
      </c>
      <c r="L1" s="216" t="s">
        <v>68</v>
      </c>
      <c r="M1" s="216" t="s">
        <v>69</v>
      </c>
      <c r="N1" s="216" t="s">
        <v>70</v>
      </c>
      <c r="O1" s="216" t="s">
        <v>71</v>
      </c>
      <c r="P1" s="216" t="s">
        <v>72</v>
      </c>
      <c r="Q1" s="217" t="s">
        <v>135</v>
      </c>
      <c r="R1" s="353">
        <v>44105</v>
      </c>
    </row>
    <row r="2" spans="1:18" ht="16.5" thickBot="1" x14ac:dyDescent="0.3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R2">
        <f>IF(Date="","XXX",Date)</f>
        <v>44105</v>
      </c>
    </row>
    <row r="3" spans="1:18" x14ac:dyDescent="0.25">
      <c r="A3" s="459" t="s">
        <v>15</v>
      </c>
      <c r="B3" s="450" t="str">
        <f>YEAR(Test_date)&amp;" год"</f>
        <v>2020 год</v>
      </c>
      <c r="C3" s="451"/>
      <c r="D3" s="451"/>
      <c r="E3" s="452"/>
      <c r="F3" s="453" t="str">
        <f>B3</f>
        <v>2020 год</v>
      </c>
      <c r="G3" s="450" t="str">
        <f>(LEFT(B3,4)+1)&amp;" год"</f>
        <v>2021 год</v>
      </c>
      <c r="H3" s="451"/>
      <c r="I3" s="451"/>
      <c r="J3" s="452"/>
      <c r="K3" s="453" t="str">
        <f>G3</f>
        <v>2021 год</v>
      </c>
      <c r="L3" s="450" t="str">
        <f>(LEFT(G3,4)+1)&amp;" год"</f>
        <v>2022 год</v>
      </c>
      <c r="M3" s="451"/>
      <c r="N3" s="451"/>
      <c r="O3" s="452"/>
      <c r="P3" s="453" t="str">
        <f>L3</f>
        <v>2022 год</v>
      </c>
    </row>
    <row r="4" spans="1:18" ht="15.75" thickBot="1" x14ac:dyDescent="0.3">
      <c r="A4" s="460"/>
      <c r="B4" s="350">
        <v>1</v>
      </c>
      <c r="C4" s="351">
        <v>2</v>
      </c>
      <c r="D4" s="351">
        <v>3</v>
      </c>
      <c r="E4" s="352">
        <v>4</v>
      </c>
      <c r="F4" s="454"/>
      <c r="G4" s="350">
        <v>1</v>
      </c>
      <c r="H4" s="351">
        <v>2</v>
      </c>
      <c r="I4" s="351">
        <v>3</v>
      </c>
      <c r="J4" s="352">
        <v>4</v>
      </c>
      <c r="K4" s="454"/>
      <c r="L4" s="350">
        <v>1</v>
      </c>
      <c r="M4" s="351">
        <v>2</v>
      </c>
      <c r="N4" s="351">
        <v>3</v>
      </c>
      <c r="O4" s="352">
        <v>4</v>
      </c>
      <c r="P4" s="454"/>
    </row>
    <row r="5" spans="1:18" x14ac:dyDescent="0.25">
      <c r="A5" s="222" t="s">
        <v>4</v>
      </c>
      <c r="B5" s="218">
        <f ca="1">ROUND(INDIRECT("'3.Прогноз.С корректировкой таб8'!"&amp;B$1&amp;$Q5),3)</f>
        <v>11.904</v>
      </c>
      <c r="C5" s="137"/>
      <c r="D5" s="137"/>
      <c r="E5" s="138"/>
      <c r="F5" s="139"/>
      <c r="G5" s="140"/>
      <c r="H5" s="137"/>
      <c r="I5" s="137"/>
      <c r="J5" s="138"/>
      <c r="K5" s="139"/>
      <c r="L5" s="140"/>
      <c r="M5" s="137"/>
      <c r="N5" s="137"/>
      <c r="O5" s="138"/>
      <c r="P5" s="139"/>
      <c r="Q5" s="209">
        <f>ROW('3.Прогноз.С корректировкой таб8'!$A$9)</f>
        <v>9</v>
      </c>
      <c r="R5" s="208"/>
    </row>
    <row r="6" spans="1:18" ht="16.5" customHeight="1" x14ac:dyDescent="0.25">
      <c r="A6" s="222" t="s">
        <v>7</v>
      </c>
      <c r="B6" s="218">
        <f ca="1">ROUND(INDIRECT("'3.Прогноз.С корректировкой таб8'!"&amp;B$1&amp;$Q6),3)</f>
        <v>92.951999999999998</v>
      </c>
      <c r="C6" s="141">
        <f t="shared" ref="C6:E7" ca="1" si="0">ROUND(INDIRECT("'3.Прогноз.С корректировкой таб8'!"&amp;C$1&amp;$Q6),3)</f>
        <v>92.549000000000007</v>
      </c>
      <c r="D6" s="141">
        <f t="shared" ca="1" si="0"/>
        <v>96.185000000000002</v>
      </c>
      <c r="E6" s="141">
        <f t="shared" ca="1" si="0"/>
        <v>122.45399999999999</v>
      </c>
      <c r="F6" s="55"/>
      <c r="G6" s="141">
        <f ca="1">ROUND(INDIRECT("'3.Прогноз.С корректировкой таб8'!"&amp;G$1&amp;$Q6),3)</f>
        <v>92.117000000000004</v>
      </c>
      <c r="H6" s="141">
        <f t="shared" ref="H6:J7" ca="1" si="1">ROUND(INDIRECT("'3.Прогноз.С корректировкой таб8'!"&amp;H$1&amp;$Q6),3)</f>
        <v>91.716999999999999</v>
      </c>
      <c r="I6" s="141">
        <f t="shared" ca="1" si="1"/>
        <v>95.320999999999998</v>
      </c>
      <c r="J6" s="141">
        <f t="shared" ca="1" si="1"/>
        <v>121.355</v>
      </c>
      <c r="K6" s="55"/>
      <c r="L6" s="141">
        <f ca="1">ROUND(INDIRECT("'3.Прогноз.С корректировкой таб8'!"&amp;L$1&amp;$Q6),3)</f>
        <v>92.117000000000004</v>
      </c>
      <c r="M6" s="141">
        <f t="shared" ref="M6:O7" ca="1" si="2">ROUND(INDIRECT("'3.Прогноз.С корректировкой таб8'!"&amp;M$1&amp;$Q6),3)</f>
        <v>91.716999999999999</v>
      </c>
      <c r="N6" s="141">
        <f t="shared" ca="1" si="2"/>
        <v>95.320999999999998</v>
      </c>
      <c r="O6" s="141">
        <f t="shared" ca="1" si="2"/>
        <v>121.355</v>
      </c>
      <c r="P6" s="55"/>
      <c r="Q6" s="209">
        <f>ROW('3.Прогноз.С корректировкой таб8'!$A$10)</f>
        <v>10</v>
      </c>
      <c r="R6" s="208"/>
    </row>
    <row r="7" spans="1:18" ht="17.25" customHeight="1" x14ac:dyDescent="0.25">
      <c r="A7" s="222" t="s">
        <v>57</v>
      </c>
      <c r="B7" s="218">
        <f ca="1">ROUND(INDIRECT("'3.Прогноз.С корректировкой таб8'!"&amp;B$1&amp;$Q7),3)</f>
        <v>1.8</v>
      </c>
      <c r="C7" s="141">
        <f t="shared" ca="1" si="0"/>
        <v>2.802</v>
      </c>
      <c r="D7" s="141">
        <f t="shared" ca="1" si="0"/>
        <v>1.0980000000000001</v>
      </c>
      <c r="E7" s="141">
        <f t="shared" ca="1" si="0"/>
        <v>2.2999999999999998</v>
      </c>
      <c r="F7" s="57"/>
      <c r="G7" s="141">
        <f ca="1">ROUND(INDIRECT("'3.Прогноз.С корректировкой таб8'!"&amp;G$1&amp;$Q7),3)</f>
        <v>2.4</v>
      </c>
      <c r="H7" s="141">
        <f t="shared" ca="1" si="1"/>
        <v>3.61</v>
      </c>
      <c r="I7" s="141">
        <f t="shared" ca="1" si="1"/>
        <v>1.4910000000000001</v>
      </c>
      <c r="J7" s="141">
        <f t="shared" ca="1" si="1"/>
        <v>4.0999999999999996</v>
      </c>
      <c r="K7" s="57"/>
      <c r="L7" s="141">
        <f ca="1">ROUND(INDIRECT("'3.Прогноз.С корректировкой таб8'!"&amp;L$1&amp;$Q7),3)</f>
        <v>2.4</v>
      </c>
      <c r="M7" s="141">
        <f t="shared" ca="1" si="2"/>
        <v>3.6749999999999998</v>
      </c>
      <c r="N7" s="141">
        <f t="shared" ca="1" si="2"/>
        <v>1.575</v>
      </c>
      <c r="O7" s="141">
        <f t="shared" ca="1" si="2"/>
        <v>4.0999999999999996</v>
      </c>
      <c r="P7" s="57"/>
      <c r="Q7" s="209">
        <f>ROW('3.Прогноз.С корректировкой таб8'!$A$15)</f>
        <v>15</v>
      </c>
      <c r="R7" s="208"/>
    </row>
    <row r="8" spans="1:18" x14ac:dyDescent="0.25">
      <c r="A8" s="222" t="s">
        <v>56</v>
      </c>
      <c r="B8" s="219"/>
      <c r="C8" s="29"/>
      <c r="D8" s="29"/>
      <c r="E8" s="54"/>
      <c r="F8" s="55"/>
      <c r="G8" s="29"/>
      <c r="H8" s="29"/>
      <c r="I8" s="29"/>
      <c r="J8" s="54"/>
      <c r="K8" s="55"/>
      <c r="L8" s="29"/>
      <c r="M8" s="29"/>
      <c r="N8" s="29"/>
      <c r="O8" s="54"/>
      <c r="P8" s="55"/>
      <c r="Q8" s="209">
        <f>ROW('3.Прогноз.С корректировкой таб8'!$A$18)</f>
        <v>18</v>
      </c>
      <c r="R8" s="208"/>
    </row>
    <row r="9" spans="1:18" x14ac:dyDescent="0.25">
      <c r="A9" s="223" t="s">
        <v>79</v>
      </c>
      <c r="B9" s="218">
        <f ca="1">ROUND(INDIRECT("'3.Прогноз.С корректировкой таб8'!"&amp;B$1&amp;$Q9),3)</f>
        <v>0.3</v>
      </c>
      <c r="C9" s="141">
        <f ca="1">ROUND(INDIRECT("'3.Прогноз.С корректировкой таб8'!"&amp;C$1&amp;$Q9),3)</f>
        <v>0.3</v>
      </c>
      <c r="D9" s="141">
        <f ca="1">ROUND(INDIRECT("'3.Прогноз.С корректировкой таб8'!"&amp;D$1&amp;$Q9),3)</f>
        <v>0.35</v>
      </c>
      <c r="E9" s="141">
        <f ca="1">ROUND(INDIRECT("'3.Прогноз.С корректировкой таб8'!"&amp;E$1&amp;$Q9),3)</f>
        <v>0.15</v>
      </c>
      <c r="F9" s="55"/>
      <c r="G9" s="141">
        <f ca="1">ROUND(INDIRECT("'3.Прогноз.С корректировкой таб8'!"&amp;G$1&amp;$Q9),3)</f>
        <v>0.3</v>
      </c>
      <c r="H9" s="141">
        <f ca="1">ROUND(INDIRECT("'3.Прогноз.С корректировкой таб8'!"&amp;H$1&amp;$Q9),3)</f>
        <v>0.3</v>
      </c>
      <c r="I9" s="141">
        <f ca="1">ROUND(INDIRECT("'3.Прогноз.С корректировкой таб8'!"&amp;I$1&amp;$Q9),3)</f>
        <v>0.35</v>
      </c>
      <c r="J9" s="141">
        <f ca="1">ROUND(INDIRECT("'3.Прогноз.С корректировкой таб8'!"&amp;J$1&amp;$Q9),3)</f>
        <v>0.15</v>
      </c>
      <c r="K9" s="55"/>
      <c r="L9" s="141">
        <f ca="1">ROUND(INDIRECT("'3.Прогноз.С корректировкой таб8'!"&amp;L$1&amp;$Q9),3)</f>
        <v>0.3</v>
      </c>
      <c r="M9" s="141">
        <f ca="1">ROUND(INDIRECT("'3.Прогноз.С корректировкой таб8'!"&amp;M$1&amp;$Q9),3)</f>
        <v>0.3</v>
      </c>
      <c r="N9" s="141">
        <f ca="1">ROUND(INDIRECT("'3.Прогноз.С корректировкой таб8'!"&amp;N$1&amp;$Q9),3)</f>
        <v>0.35</v>
      </c>
      <c r="O9" s="141">
        <f ca="1">ROUND(INDIRECT("'3.Прогноз.С корректировкой таб8'!"&amp;O$1&amp;$Q9),3)</f>
        <v>0.15</v>
      </c>
      <c r="P9" s="55"/>
      <c r="Q9" s="209">
        <f>ROW('3.Прогноз.С корректировкой таб8'!$A$19)</f>
        <v>19</v>
      </c>
      <c r="R9" s="208"/>
    </row>
    <row r="10" spans="1:18" x14ac:dyDescent="0.25">
      <c r="A10" s="222" t="s">
        <v>5</v>
      </c>
      <c r="B10" s="218">
        <f t="shared" ref="B10:E12" ca="1" si="3">ROUND(INDIRECT("'3.Прогноз.С корректировкой таб8'!"&amp;B$1&amp;$Q10),3)</f>
        <v>0.93100000000000005</v>
      </c>
      <c r="C10" s="141">
        <f t="shared" ca="1" si="3"/>
        <v>0.95799999999999996</v>
      </c>
      <c r="D10" s="141">
        <f t="shared" ca="1" si="3"/>
        <v>0.95799999999999996</v>
      </c>
      <c r="E10" s="141">
        <f t="shared" ca="1" si="3"/>
        <v>0.96899999999999997</v>
      </c>
      <c r="F10" s="56"/>
      <c r="G10" s="141">
        <f t="shared" ref="G10:J12" ca="1" si="4">ROUND(INDIRECT("'3.Прогноз.С корректировкой таб8'!"&amp;G$1&amp;$Q10),3)</f>
        <v>0.93100000000000005</v>
      </c>
      <c r="H10" s="141">
        <f t="shared" ca="1" si="4"/>
        <v>0.95799999999999996</v>
      </c>
      <c r="I10" s="141">
        <f t="shared" ca="1" si="4"/>
        <v>0.95799999999999996</v>
      </c>
      <c r="J10" s="141">
        <f t="shared" ca="1" si="4"/>
        <v>0.97</v>
      </c>
      <c r="K10" s="56"/>
      <c r="L10" s="141">
        <f t="shared" ref="L10:O12" ca="1" si="5">ROUND(INDIRECT("'3.Прогноз.С корректировкой таб8'!"&amp;L$1&amp;$Q10),3)</f>
        <v>0.93200000000000005</v>
      </c>
      <c r="M10" s="141">
        <f t="shared" ca="1" si="5"/>
        <v>0.95799999999999996</v>
      </c>
      <c r="N10" s="141">
        <f t="shared" ca="1" si="5"/>
        <v>0.95799999999999996</v>
      </c>
      <c r="O10" s="141">
        <f t="shared" ca="1" si="5"/>
        <v>0.97</v>
      </c>
      <c r="P10" s="56"/>
      <c r="Q10" s="209">
        <f>ROW('3.Прогноз.С корректировкой таб8'!$A$22)</f>
        <v>22</v>
      </c>
      <c r="R10" s="208"/>
    </row>
    <row r="11" spans="1:18" x14ac:dyDescent="0.25">
      <c r="A11" s="222" t="s">
        <v>55</v>
      </c>
      <c r="B11" s="218">
        <f t="shared" ca="1" si="3"/>
        <v>40</v>
      </c>
      <c r="C11" s="141">
        <f t="shared" ca="1" si="3"/>
        <v>36.898000000000003</v>
      </c>
      <c r="D11" s="141">
        <f t="shared" ca="1" si="3"/>
        <v>33.101999999999997</v>
      </c>
      <c r="E11" s="141">
        <f t="shared" ca="1" si="3"/>
        <v>49.5</v>
      </c>
      <c r="F11" s="55"/>
      <c r="G11" s="141">
        <f t="shared" ca="1" si="4"/>
        <v>40</v>
      </c>
      <c r="H11" s="141">
        <f t="shared" ca="1" si="4"/>
        <v>36.69</v>
      </c>
      <c r="I11" s="141">
        <f t="shared" ca="1" si="4"/>
        <v>33.31</v>
      </c>
      <c r="J11" s="141">
        <f t="shared" ca="1" si="4"/>
        <v>49.5</v>
      </c>
      <c r="K11" s="55"/>
      <c r="L11" s="141">
        <f t="shared" ca="1" si="5"/>
        <v>40</v>
      </c>
      <c r="M11" s="141">
        <f t="shared" ca="1" si="5"/>
        <v>36.776000000000003</v>
      </c>
      <c r="N11" s="141">
        <f t="shared" ca="1" si="5"/>
        <v>33.223999999999997</v>
      </c>
      <c r="O11" s="141">
        <f t="shared" ca="1" si="5"/>
        <v>49.67</v>
      </c>
      <c r="P11" s="55"/>
      <c r="Q11" s="209">
        <f>ROW('3.Прогноз.С корректировкой таб8'!$A$24)</f>
        <v>24</v>
      </c>
      <c r="R11" s="208"/>
    </row>
    <row r="12" spans="1:18" x14ac:dyDescent="0.25">
      <c r="A12" s="222" t="s">
        <v>6</v>
      </c>
      <c r="B12" s="218">
        <f t="shared" ca="1" si="3"/>
        <v>58.945999999999998</v>
      </c>
      <c r="C12" s="141">
        <f t="shared" ca="1" si="3"/>
        <v>62.908999999999999</v>
      </c>
      <c r="D12" s="141">
        <f t="shared" ca="1" si="3"/>
        <v>60.432000000000002</v>
      </c>
      <c r="E12" s="141">
        <f t="shared" ca="1" si="3"/>
        <v>65.385000000000005</v>
      </c>
      <c r="F12" s="55"/>
      <c r="G12" s="141">
        <f t="shared" ca="1" si="4"/>
        <v>58.945999999999998</v>
      </c>
      <c r="H12" s="141">
        <f t="shared" ca="1" si="4"/>
        <v>62.908999999999999</v>
      </c>
      <c r="I12" s="141">
        <f t="shared" ca="1" si="4"/>
        <v>60.432000000000002</v>
      </c>
      <c r="J12" s="141">
        <f t="shared" ca="1" si="4"/>
        <v>65.385000000000005</v>
      </c>
      <c r="K12" s="55"/>
      <c r="L12" s="141">
        <f t="shared" ca="1" si="5"/>
        <v>58.945999999999998</v>
      </c>
      <c r="M12" s="141">
        <f t="shared" ca="1" si="5"/>
        <v>62.908999999999999</v>
      </c>
      <c r="N12" s="141">
        <f t="shared" ca="1" si="5"/>
        <v>60.432000000000002</v>
      </c>
      <c r="O12" s="141">
        <f t="shared" ca="1" si="5"/>
        <v>65.385000000000005</v>
      </c>
      <c r="P12" s="55"/>
      <c r="Q12" s="209">
        <f>ROW('3.Прогноз.С корректировкой таб8'!$A$27)</f>
        <v>27</v>
      </c>
      <c r="R12" s="208"/>
    </row>
    <row r="13" spans="1:18" x14ac:dyDescent="0.25">
      <c r="A13" s="222" t="s">
        <v>54</v>
      </c>
      <c r="B13" s="219"/>
      <c r="C13" s="29"/>
      <c r="D13" s="29"/>
      <c r="E13" s="54"/>
      <c r="F13" s="55"/>
      <c r="G13" s="29"/>
      <c r="H13" s="29"/>
      <c r="I13" s="29"/>
      <c r="J13" s="54"/>
      <c r="K13" s="55"/>
      <c r="L13" s="29"/>
      <c r="M13" s="29"/>
      <c r="N13" s="29"/>
      <c r="O13" s="54"/>
      <c r="P13" s="55"/>
      <c r="Q13" s="209">
        <f>ROW('3.Прогноз.С корректировкой таб8'!$A$30)</f>
        <v>30</v>
      </c>
      <c r="R13" s="208"/>
    </row>
    <row r="14" spans="1:18" ht="15.75" thickBot="1" x14ac:dyDescent="0.3">
      <c r="A14" s="224" t="s">
        <v>8</v>
      </c>
      <c r="B14" s="220">
        <f ca="1">B5+B6+B7-B9-B10-B11-B12</f>
        <v>6.4789999999999992</v>
      </c>
      <c r="C14" s="210">
        <f ca="1">B14+C6+C7-C9-C10-C11-C12</f>
        <v>0.76500000000001478</v>
      </c>
      <c r="D14" s="210">
        <f ca="1">C14+D6+D7-D9-D10-D11-D12</f>
        <v>3.2060000000000244</v>
      </c>
      <c r="E14" s="210">
        <f ca="1">D14+E6+E7-E9-E10-E11-E12</f>
        <v>11.956000000000017</v>
      </c>
      <c r="F14" s="211"/>
      <c r="G14" s="210">
        <f ca="1">E14+G6+G7-G9-G10-G11-G12</f>
        <v>6.2960000000000349</v>
      </c>
      <c r="H14" s="210">
        <f ca="1">G14+H6+H7-H9-H10-H11-H12</f>
        <v>0.76600000000004087</v>
      </c>
      <c r="I14" s="210">
        <f ca="1">H14+I6+I7-I9-I10-I11-I12</f>
        <v>2.5280000000000484</v>
      </c>
      <c r="J14" s="210">
        <f ca="1">I14+J6+J7-J9-J10-J11-J12</f>
        <v>11.978000000000037</v>
      </c>
      <c r="K14" s="211"/>
      <c r="L14" s="210">
        <f ca="1">J14+L6+L7-L9-L10-L11-L12</f>
        <v>6.3170000000000499</v>
      </c>
      <c r="M14" s="210">
        <f ca="1">L14+M6+M7-M9-M10-M11-M12</f>
        <v>0.76600000000004798</v>
      </c>
      <c r="N14" s="210">
        <f ca="1">M14+N6+N7-N9-N10-N11-N12</f>
        <v>2.6980000000000572</v>
      </c>
      <c r="O14" s="210">
        <f ca="1">N14+O6+O7-O9-O10-O11-O12</f>
        <v>11.978000000000037</v>
      </c>
      <c r="P14" s="211"/>
      <c r="Q14" s="209">
        <f>ROW('3.Прогноз.С корректировкой таб8'!$A$31)</f>
        <v>31</v>
      </c>
      <c r="R14" s="208"/>
    </row>
    <row r="15" spans="1:18" ht="15.75" thickBot="1" x14ac:dyDescent="0.3">
      <c r="A15" s="225" t="s">
        <v>53</v>
      </c>
      <c r="B15" s="221">
        <v>0</v>
      </c>
      <c r="C15" s="212">
        <v>0</v>
      </c>
      <c r="D15" s="212">
        <v>0</v>
      </c>
      <c r="E15" s="213">
        <v>0</v>
      </c>
      <c r="F15" s="214"/>
      <c r="G15" s="212">
        <v>0</v>
      </c>
      <c r="H15" s="212">
        <v>0</v>
      </c>
      <c r="I15" s="212">
        <v>0</v>
      </c>
      <c r="J15" s="213">
        <v>0</v>
      </c>
      <c r="K15" s="214"/>
      <c r="L15" s="212">
        <v>0</v>
      </c>
      <c r="M15" s="212">
        <v>0</v>
      </c>
      <c r="N15" s="212">
        <v>0</v>
      </c>
      <c r="O15" s="213">
        <v>0</v>
      </c>
      <c r="P15" s="214">
        <v>0</v>
      </c>
      <c r="R15" s="52"/>
    </row>
    <row r="19" spans="3:3" x14ac:dyDescent="0.25">
      <c r="C19" s="15"/>
    </row>
  </sheetData>
  <sheetProtection algorithmName="SHA-512" hashValue="rFpGtyvWFGs5UqIyaQZ2Xzj2gQo4aRYY/wZS/86DVG7KpTil8FM6pm8oeN4nhn65dynBUMALgvmAKfzztMxfHQ==" saltValue="c1ZrLMA29WRogHSb4Vxatw==" spinCount="100000" sheet="1" objects="1" scenarios="1"/>
  <mergeCells count="7">
    <mergeCell ref="P3:P4"/>
    <mergeCell ref="A3:A4"/>
    <mergeCell ref="B3:E3"/>
    <mergeCell ref="F3:F4"/>
    <mergeCell ref="G3:J3"/>
    <mergeCell ref="K3:K4"/>
    <mergeCell ref="L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6"/>
  <sheetViews>
    <sheetView zoomScaleNormal="100" workbookViewId="0">
      <selection activeCell="C11" sqref="C11"/>
    </sheetView>
  </sheetViews>
  <sheetFormatPr defaultRowHeight="15" x14ac:dyDescent="0.25"/>
  <cols>
    <col min="1" max="1" width="49.7109375" customWidth="1"/>
    <col min="2" max="4" width="14.28515625" customWidth="1"/>
    <col min="5" max="5" width="57.28515625" customWidth="1"/>
    <col min="6" max="6" width="25.85546875" customWidth="1"/>
  </cols>
  <sheetData>
    <row r="1" spans="1:6" x14ac:dyDescent="0.25">
      <c r="A1" s="354"/>
      <c r="B1" s="354"/>
      <c r="C1" s="354"/>
      <c r="D1" s="354"/>
      <c r="E1" s="354"/>
    </row>
    <row r="2" spans="1:6" ht="20.25" x14ac:dyDescent="0.3">
      <c r="A2" s="461" t="s">
        <v>93</v>
      </c>
      <c r="B2" s="461"/>
      <c r="C2" s="461"/>
      <c r="D2" s="461"/>
      <c r="E2" s="461"/>
    </row>
    <row r="3" spans="1:6" ht="15.75" thickBot="1" x14ac:dyDescent="0.3">
      <c r="A3" s="355"/>
      <c r="B3" s="355"/>
      <c r="C3" s="355"/>
      <c r="D3" s="355"/>
      <c r="E3" s="355"/>
    </row>
    <row r="4" spans="1:6" ht="32.65" customHeight="1" thickBot="1" x14ac:dyDescent="0.3">
      <c r="A4" s="356" t="s">
        <v>94</v>
      </c>
      <c r="B4" s="356" t="str">
        <f>(YEAR(Test_date)-1)&amp;" год"</f>
        <v>2019 год</v>
      </c>
      <c r="C4" s="356" t="str">
        <f>(LEFT(B4,4)+1)&amp;" год"</f>
        <v>2020 год</v>
      </c>
      <c r="D4" s="356" t="s">
        <v>95</v>
      </c>
      <c r="E4" s="357" t="s">
        <v>96</v>
      </c>
    </row>
    <row r="5" spans="1:6" ht="22.9" customHeight="1" x14ac:dyDescent="0.3">
      <c r="A5" s="368" t="s">
        <v>37</v>
      </c>
      <c r="B5" s="369">
        <f>SUM(B6,B7,B8)</f>
        <v>428.21</v>
      </c>
      <c r="C5" s="369">
        <f>SUM(C6,C7,C8)</f>
        <v>424.04399999999998</v>
      </c>
      <c r="D5" s="369">
        <f>IFERROR(C5/B5*100-100,"")</f>
        <v>-0.97288713481702871</v>
      </c>
      <c r="E5" s="370"/>
      <c r="F5" s="358" t="str">
        <f t="shared" ref="F5:F14" si="0">IF(OR($D5&gt;10,$D5&lt;-10),IF($D5="","",IF($E5="","Внесите комментарий!","")),"")</f>
        <v/>
      </c>
    </row>
    <row r="6" spans="1:6" ht="22.9" customHeight="1" x14ac:dyDescent="0.3">
      <c r="A6" s="366" t="s">
        <v>38</v>
      </c>
      <c r="B6" s="361">
        <f>'1. Статистика'!M25</f>
        <v>11.906000000000001</v>
      </c>
      <c r="C6" s="361">
        <f>'3.Прогноз.С корректировкой таб8'!G9</f>
        <v>11.904</v>
      </c>
      <c r="D6" s="361">
        <f t="shared" ref="D6:D14" si="1">IFERROR(C6/B6*100-100,"")</f>
        <v>-1.6798252981701012E-2</v>
      </c>
      <c r="E6" s="362"/>
      <c r="F6" s="358" t="str">
        <f t="shared" si="0"/>
        <v/>
      </c>
    </row>
    <row r="7" spans="1:6" ht="22.9" customHeight="1" x14ac:dyDescent="0.3">
      <c r="A7" s="366" t="s">
        <v>97</v>
      </c>
      <c r="B7" s="361">
        <f>'1. Статистика'!M26</f>
        <v>410.10399999999998</v>
      </c>
      <c r="C7" s="361">
        <f>'3.Прогноз.С корректировкой таб8'!G10</f>
        <v>404.14</v>
      </c>
      <c r="D7" s="361">
        <f t="shared" si="1"/>
        <v>-1.4542652595439165</v>
      </c>
      <c r="E7" s="371"/>
      <c r="F7" s="358" t="str">
        <f t="shared" si="0"/>
        <v/>
      </c>
    </row>
    <row r="8" spans="1:6" ht="22.9" customHeight="1" x14ac:dyDescent="0.3">
      <c r="A8" s="366" t="s">
        <v>39</v>
      </c>
      <c r="B8" s="361">
        <f>'1. Статистика'!M29</f>
        <v>6.2</v>
      </c>
      <c r="C8" s="361">
        <f>'3.Прогноз.С корректировкой таб8'!G15</f>
        <v>8</v>
      </c>
      <c r="D8" s="361">
        <f t="shared" si="1"/>
        <v>29.032258064516128</v>
      </c>
      <c r="E8" s="362" t="s">
        <v>146</v>
      </c>
      <c r="F8" s="358" t="str">
        <f t="shared" si="0"/>
        <v/>
      </c>
    </row>
    <row r="9" spans="1:6" ht="22.9" customHeight="1" x14ac:dyDescent="0.3">
      <c r="A9" s="359" t="s">
        <v>42</v>
      </c>
      <c r="B9" s="360">
        <f>SUM(B10:B13)</f>
        <v>416.30599999999998</v>
      </c>
      <c r="C9" s="360">
        <f>SUM(C10:C13)</f>
        <v>412.08799999999997</v>
      </c>
      <c r="D9" s="360">
        <f t="shared" si="1"/>
        <v>-1.0131970233434089</v>
      </c>
      <c r="E9" s="372"/>
      <c r="F9" s="358" t="str">
        <f t="shared" si="0"/>
        <v/>
      </c>
    </row>
    <row r="10" spans="1:6" ht="22.9" customHeight="1" x14ac:dyDescent="0.3">
      <c r="A10" s="367" t="s">
        <v>110</v>
      </c>
      <c r="B10" s="361">
        <f>'1. Статистика'!M31</f>
        <v>1.0999999999999999</v>
      </c>
      <c r="C10" s="361">
        <f>'3.Прогноз.С корректировкой таб8'!G19</f>
        <v>1.1000000000000001</v>
      </c>
      <c r="D10" s="361">
        <f t="shared" si="1"/>
        <v>2.8421709430404007E-14</v>
      </c>
      <c r="E10" s="362"/>
      <c r="F10" s="358" t="str">
        <f t="shared" si="0"/>
        <v/>
      </c>
    </row>
    <row r="11" spans="1:6" ht="22.9" customHeight="1" x14ac:dyDescent="0.3">
      <c r="A11" s="366" t="s">
        <v>111</v>
      </c>
      <c r="B11" s="361">
        <f>'1. Статистика'!M32</f>
        <v>4.0060000000000002</v>
      </c>
      <c r="C11" s="361">
        <f>'3.Прогноз.С корректировкой таб8'!G22</f>
        <v>3.8159999999999998</v>
      </c>
      <c r="D11" s="361">
        <f t="shared" si="1"/>
        <v>-4.7428856714927718</v>
      </c>
      <c r="E11" s="362"/>
      <c r="F11" s="358" t="str">
        <f t="shared" si="0"/>
        <v/>
      </c>
    </row>
    <row r="12" spans="1:6" ht="22.9" customHeight="1" x14ac:dyDescent="0.3">
      <c r="A12" s="366" t="s">
        <v>112</v>
      </c>
      <c r="B12" s="361">
        <f>'1. Статистика'!M33</f>
        <v>159.5</v>
      </c>
      <c r="C12" s="361">
        <f>'3.Прогноз.С корректировкой таб8'!G24</f>
        <v>159.5</v>
      </c>
      <c r="D12" s="361">
        <f t="shared" si="1"/>
        <v>0</v>
      </c>
      <c r="E12" s="362"/>
      <c r="F12" s="358" t="str">
        <f t="shared" si="0"/>
        <v/>
      </c>
    </row>
    <row r="13" spans="1:6" ht="22.9" customHeight="1" x14ac:dyDescent="0.3">
      <c r="A13" s="366" t="s">
        <v>113</v>
      </c>
      <c r="B13" s="361">
        <f>'1. Статистика'!M34</f>
        <v>251.7</v>
      </c>
      <c r="C13" s="361">
        <f>'3.Прогноз.С корректировкой таб8'!G27</f>
        <v>247.672</v>
      </c>
      <c r="D13" s="361">
        <f t="shared" si="1"/>
        <v>-1.6003178386968671</v>
      </c>
      <c r="E13" s="362"/>
      <c r="F13" s="358" t="str">
        <f t="shared" si="0"/>
        <v/>
      </c>
    </row>
    <row r="14" spans="1:6" ht="22.9" customHeight="1" thickBot="1" x14ac:dyDescent="0.35">
      <c r="A14" s="363" t="s">
        <v>46</v>
      </c>
      <c r="B14" s="364">
        <f>'1. Статистика'!M35</f>
        <v>11.904</v>
      </c>
      <c r="C14" s="364">
        <f>'3.Прогноз.С корректировкой таб8'!G31</f>
        <v>11.956</v>
      </c>
      <c r="D14" s="364">
        <f t="shared" si="1"/>
        <v>0.43682795698924792</v>
      </c>
      <c r="E14" s="365"/>
      <c r="F14" s="358" t="str">
        <f t="shared" si="0"/>
        <v/>
      </c>
    </row>
    <row r="16" spans="1:6" x14ac:dyDescent="0.25">
      <c r="C16" s="409"/>
    </row>
  </sheetData>
  <sheetProtection algorithmName="SHA-512" hashValue="/gyCID126rrktS3Fbb1Ax5npX0buUF8+qm6PXyVtSK9pjrmTLxS8ylzRDo7P7FHG5bt/nf2frZj4Fznn9lJy2Q==" saltValue="72AyXkovWqNN+iAUDt9yHA==" spinCount="100000" sheet="1" objects="1" scenarios="1"/>
  <mergeCells count="1">
    <mergeCell ref="A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b 4 8 f 9 0 8 - 9 4 9 5 - 4 f 2 e - b a 6 d - 9 a 2 5 1 0 8 b 9 1 1 2 "   x m l n s = " h t t p : / / s c h e m a s . m i c r o s o f t . c o m / D a t a M a s h u p " > A A A A A B c D A A B Q S w M E F A A C A A g A 6 V T c T k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6 V T c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l U 3 E 4 o i k e 4 D g A A A B E A A A A T A B w A R m 9 y b X V s Y X M v U 2 V j d G l v b j E u b S C i G A A o o B Q A A A A A A A A A A A A A A A A A A A A A A A A A A A A r T k 0 u y c z P U w i G 0 I b W A F B L A Q I t A B Q A A g A I A O l U 3 E 5 B Q a x B p w A A A P k A A A A S A A A A A A A A A A A A A A A A A A A A A A B D b 2 5 m a W c v U G F j a 2 F n Z S 5 4 b W x Q S w E C L Q A U A A I A C A D p V N x O D 8 r p q 6 Q A A A D p A A A A E w A A A A A A A A A A A A A A A A D z A A A A W 0 N v b n R l b n R f V H l w Z X N d L n h t b F B L A Q I t A B Q A A g A I A O l U 3 E 4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w B A A A A A A A A q g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S d W 5 C Y W N r Z 3 J v d W 5 k Q W 5 h b H l z a X M i I F Z h b H V l P S J z R m F s c 2 U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K f K f H r J B e V I g z K x k b m 5 D 7 0 A A A A A A g A A A A A A A 2 Y A A M A A A A A Q A A A A 5 M m n h 3 q v I B 6 Z N 2 8 n x F 7 O W Q A A A A A E g A A A o A A A A B A A A A B U 2 3 d N x 1 8 g O o 8 B y x N t U 7 k D U A A A A A j 6 + D m Z x X d K 7 i g C n / S e M 7 n j J r j b T F h 1 R s J X 9 l f m n x J c V H W L w / W z 4 I b O w r a x 7 x + B E w I G K Y V j X 1 N N M h 6 B F Z X r n B h Q L Q N x b D V Y 1 1 q u f w R F P c s V F A A A A D P v t 9 0 U W 6 D L 6 Q P H 3 j u a d T M B 4 G Y 6 < / D a t a M a s h u p > 
</file>

<file path=customXml/itemProps1.xml><?xml version="1.0" encoding="utf-8"?>
<ds:datastoreItem xmlns:ds="http://schemas.openxmlformats.org/officeDocument/2006/customXml" ds:itemID="{55E05E02-D35B-4B50-8068-A2B3450218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таб8</vt:lpstr>
      <vt:lpstr>4. Комментарии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Ерещенкова Альбина Александровна</cp:lastModifiedBy>
  <cp:revision>11</cp:revision>
  <cp:lastPrinted>2017-12-06T11:32:39Z</cp:lastPrinted>
  <dcterms:created xsi:type="dcterms:W3CDTF">2006-09-16T00:00:00Z</dcterms:created>
  <dcterms:modified xsi:type="dcterms:W3CDTF">2022-05-26T09:05:52Z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