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ystlnDTa15MeEiTy6MLQRvit0WwLy/7GuuUx/DfrPz6QKSPQIhH7acjEawoAPcowscVU+sa+G9gyxk7Im2LWgA==" workbookSaltValue="rXyl2m24i9ujl0TCGuROTw==" workbookSpinCount="100000" lockStructure="1"/>
  <bookViews>
    <workbookView xWindow="30" yWindow="630" windowWidth="19440" windowHeight="13740" tabRatio="753" activeTab="4"/>
  </bookViews>
  <sheets>
    <sheet name="1. Статистика" sheetId="6" r:id="rId1"/>
    <sheet name="2. Прогноз. Без корректировки" sheetId="7" r:id="rId2"/>
    <sheet name="3.Прогноз.С корректировкой таб7" sheetId="13" r:id="rId3"/>
    <sheet name="Баланс" sheetId="14" state="veryHidden" r:id="rId4"/>
    <sheet name="4.Комментарий" sheetId="15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" i="14" l="1"/>
  <c r="B3" i="14" s="1"/>
  <c r="G3" i="14" s="1"/>
  <c r="F25" i="13"/>
  <c r="E25" i="13"/>
  <c r="D25" i="13"/>
  <c r="C25" i="13"/>
  <c r="F16" i="13"/>
  <c r="E16" i="13"/>
  <c r="D16" i="13"/>
  <c r="C16" i="13"/>
  <c r="G16" i="13" s="1"/>
  <c r="P14" i="13"/>
  <c r="O14" i="13"/>
  <c r="N14" i="13"/>
  <c r="M14" i="13"/>
  <c r="Q14" i="13" s="1"/>
  <c r="K14" i="13"/>
  <c r="J14" i="13"/>
  <c r="I14" i="13"/>
  <c r="H14" i="13"/>
  <c r="L14" i="13" s="1"/>
  <c r="F14" i="13"/>
  <c r="E14" i="13"/>
  <c r="D14" i="13"/>
  <c r="C14" i="13"/>
  <c r="G14" i="13" s="1"/>
  <c r="P13" i="13"/>
  <c r="O13" i="13"/>
  <c r="N13" i="13"/>
  <c r="M13" i="13"/>
  <c r="Q13" i="13" s="1"/>
  <c r="K13" i="13"/>
  <c r="J13" i="13"/>
  <c r="I13" i="13"/>
  <c r="H13" i="13"/>
  <c r="L13" i="13" s="1"/>
  <c r="F13" i="13"/>
  <c r="E13" i="13"/>
  <c r="D13" i="13"/>
  <c r="C13" i="13"/>
  <c r="G13" i="13" s="1"/>
  <c r="P12" i="13"/>
  <c r="O12" i="13"/>
  <c r="N12" i="13"/>
  <c r="M12" i="13"/>
  <c r="Q12" i="13" s="1"/>
  <c r="K12" i="13"/>
  <c r="J12" i="13"/>
  <c r="I12" i="13"/>
  <c r="H12" i="13"/>
  <c r="L12" i="13" s="1"/>
  <c r="F12" i="13"/>
  <c r="E12" i="13"/>
  <c r="D12" i="13"/>
  <c r="C12" i="13"/>
  <c r="G12" i="13" s="1"/>
  <c r="F11" i="13"/>
  <c r="F10" i="13" s="1"/>
  <c r="K11" i="13" s="1"/>
  <c r="K10" i="13" s="1"/>
  <c r="P11" i="13" s="1"/>
  <c r="P10" i="13" s="1"/>
  <c r="E11" i="13"/>
  <c r="D11" i="13"/>
  <c r="D10" i="13" s="1"/>
  <c r="I11" i="13" s="1"/>
  <c r="I10" i="13" s="1"/>
  <c r="N11" i="13" s="1"/>
  <c r="N10" i="13" s="1"/>
  <c r="C11" i="13"/>
  <c r="G11" i="13" s="1"/>
  <c r="E10" i="13"/>
  <c r="J11" i="13" s="1"/>
  <c r="J10" i="13" s="1"/>
  <c r="O11" i="13" s="1"/>
  <c r="O10" i="13" s="1"/>
  <c r="C10" i="13"/>
  <c r="H11" i="13" s="1"/>
  <c r="G7" i="13"/>
  <c r="C7" i="13"/>
  <c r="H7" i="13" s="1"/>
  <c r="E158" i="7"/>
  <c r="Q26" i="7"/>
  <c r="L26" i="7"/>
  <c r="G26" i="7"/>
  <c r="F25" i="7"/>
  <c r="E25" i="7"/>
  <c r="E24" i="7" s="1"/>
  <c r="J25" i="7" s="1"/>
  <c r="J24" i="7" s="1"/>
  <c r="O25" i="7" s="1"/>
  <c r="O24" i="7" s="1"/>
  <c r="D25" i="7"/>
  <c r="C25" i="7"/>
  <c r="G25" i="7" s="1"/>
  <c r="G24" i="7" s="1"/>
  <c r="F24" i="7"/>
  <c r="K25" i="7" s="1"/>
  <c r="K24" i="7" s="1"/>
  <c r="P25" i="7" s="1"/>
  <c r="P24" i="7" s="1"/>
  <c r="D24" i="7"/>
  <c r="I25" i="7" s="1"/>
  <c r="I24" i="7" s="1"/>
  <c r="N25" i="7" s="1"/>
  <c r="N24" i="7" s="1"/>
  <c r="Q17" i="7"/>
  <c r="L17" i="7"/>
  <c r="G17" i="7"/>
  <c r="G15" i="7" s="1"/>
  <c r="F16" i="7"/>
  <c r="F15" i="7" s="1"/>
  <c r="K16" i="7" s="1"/>
  <c r="E16" i="7"/>
  <c r="D16" i="7"/>
  <c r="D15" i="7" s="1"/>
  <c r="I16" i="7" s="1"/>
  <c r="C16" i="7"/>
  <c r="G16" i="7" s="1"/>
  <c r="K15" i="7"/>
  <c r="P16" i="7" s="1"/>
  <c r="P15" i="7" s="1"/>
  <c r="N65" i="6" s="1"/>
  <c r="I15" i="7"/>
  <c r="N16" i="7" s="1"/>
  <c r="N15" i="7" s="1"/>
  <c r="L65" i="6" s="1"/>
  <c r="E15" i="7"/>
  <c r="J16" i="7" s="1"/>
  <c r="J15" i="7" s="1"/>
  <c r="C15" i="7"/>
  <c r="H16" i="7" s="1"/>
  <c r="Q14" i="7"/>
  <c r="L14" i="7"/>
  <c r="G14" i="7"/>
  <c r="Q13" i="7"/>
  <c r="L13" i="7"/>
  <c r="G13" i="7"/>
  <c r="P12" i="7"/>
  <c r="O12" i="7"/>
  <c r="N12" i="7"/>
  <c r="M12" i="7"/>
  <c r="Q12" i="7" s="1"/>
  <c r="K12" i="7"/>
  <c r="J12" i="7"/>
  <c r="I12" i="7"/>
  <c r="H12" i="7"/>
  <c r="L12" i="7" s="1"/>
  <c r="F12" i="7"/>
  <c r="E12" i="7"/>
  <c r="D12" i="7"/>
  <c r="C12" i="7"/>
  <c r="F11" i="7"/>
  <c r="E11" i="7"/>
  <c r="D11" i="7"/>
  <c r="C11" i="7"/>
  <c r="G11" i="7" s="1"/>
  <c r="F10" i="7"/>
  <c r="K11" i="7" s="1"/>
  <c r="K10" i="7" s="1"/>
  <c r="P11" i="7" s="1"/>
  <c r="P10" i="7" s="1"/>
  <c r="E10" i="7"/>
  <c r="J11" i="7" s="1"/>
  <c r="J10" i="7" s="1"/>
  <c r="O11" i="7" s="1"/>
  <c r="O10" i="7" s="1"/>
  <c r="D10" i="7"/>
  <c r="I11" i="7" s="1"/>
  <c r="I10" i="7" s="1"/>
  <c r="N11" i="7" s="1"/>
  <c r="N10" i="7" s="1"/>
  <c r="C10" i="7"/>
  <c r="H11" i="7" s="1"/>
  <c r="H10" i="7" s="1"/>
  <c r="C7" i="7"/>
  <c r="G7" i="7" s="1"/>
  <c r="N66" i="6"/>
  <c r="M66" i="6"/>
  <c r="L66" i="6"/>
  <c r="J66" i="6"/>
  <c r="I66" i="6"/>
  <c r="H66" i="6"/>
  <c r="F66" i="6"/>
  <c r="E66" i="6"/>
  <c r="D66" i="6"/>
  <c r="J65" i="6"/>
  <c r="E65" i="6"/>
  <c r="D65" i="6"/>
  <c r="C65" i="6"/>
  <c r="C62" i="6"/>
  <c r="G62" i="6" s="1"/>
  <c r="K62" i="6" s="1"/>
  <c r="C56" i="6"/>
  <c r="D56" i="6" s="1"/>
  <c r="E56" i="6" s="1"/>
  <c r="G52" i="6"/>
  <c r="L21" i="7" s="1"/>
  <c r="L21" i="13" s="1"/>
  <c r="F52" i="6"/>
  <c r="G21" i="7" s="1"/>
  <c r="G21" i="13" s="1"/>
  <c r="D51" i="6"/>
  <c r="E51" i="6" s="1"/>
  <c r="F51" i="6" s="1"/>
  <c r="G51" i="6" s="1"/>
  <c r="H51" i="6" s="1"/>
  <c r="C51" i="6"/>
  <c r="H45" i="6"/>
  <c r="C45" i="6"/>
  <c r="H44" i="6"/>
  <c r="C44" i="6"/>
  <c r="D42" i="6"/>
  <c r="C42" i="6"/>
  <c r="V38" i="6"/>
  <c r="U38" i="6"/>
  <c r="T38" i="6"/>
  <c r="S38" i="6"/>
  <c r="R38" i="6"/>
  <c r="Q38" i="6"/>
  <c r="P38" i="6"/>
  <c r="O38" i="6"/>
  <c r="N38" i="6"/>
  <c r="L38" i="6"/>
  <c r="K38" i="6"/>
  <c r="J38" i="6"/>
  <c r="I38" i="6"/>
  <c r="H38" i="6"/>
  <c r="G38" i="6"/>
  <c r="F38" i="6"/>
  <c r="E38" i="6"/>
  <c r="D38" i="6"/>
  <c r="AK36" i="6"/>
  <c r="G9" i="13" s="1"/>
  <c r="AJ36" i="6"/>
  <c r="AI36" i="6"/>
  <c r="AH36" i="6"/>
  <c r="AG36" i="6"/>
  <c r="AF36" i="6"/>
  <c r="AE36" i="6"/>
  <c r="AD36" i="6"/>
  <c r="AC36" i="6"/>
  <c r="AB36" i="6"/>
  <c r="AA36" i="6"/>
  <c r="N68" i="6" s="1"/>
  <c r="Z36" i="6"/>
  <c r="M68" i="6" s="1"/>
  <c r="Y36" i="6"/>
  <c r="L68" i="6" s="1"/>
  <c r="X36" i="6"/>
  <c r="K68" i="6" s="1"/>
  <c r="W36" i="6"/>
  <c r="R36" i="6"/>
  <c r="M36" i="6"/>
  <c r="M38" i="6" s="1"/>
  <c r="H36" i="6"/>
  <c r="C36" i="6"/>
  <c r="C38" i="6" s="1"/>
  <c r="C34" i="6"/>
  <c r="H34" i="6" s="1"/>
  <c r="M24" i="6"/>
  <c r="B13" i="15" s="1"/>
  <c r="H24" i="6"/>
  <c r="C24" i="6"/>
  <c r="M23" i="6"/>
  <c r="B12" i="15" s="1"/>
  <c r="H23" i="6"/>
  <c r="C23" i="6"/>
  <c r="M22" i="6"/>
  <c r="B11" i="15" s="1"/>
  <c r="H22" i="6"/>
  <c r="C22" i="6"/>
  <c r="M21" i="6"/>
  <c r="B10" i="15" s="1"/>
  <c r="B9" i="15" s="1"/>
  <c r="H21" i="6"/>
  <c r="C21" i="6"/>
  <c r="C57" i="6" s="1"/>
  <c r="P20" i="6"/>
  <c r="P26" i="6" s="1"/>
  <c r="N20" i="6"/>
  <c r="N26" i="6" s="1"/>
  <c r="L20" i="6"/>
  <c r="L26" i="6" s="1"/>
  <c r="J20" i="6"/>
  <c r="J26" i="6" s="1"/>
  <c r="F20" i="6"/>
  <c r="F26" i="6" s="1"/>
  <c r="D20" i="6"/>
  <c r="D26" i="6" s="1"/>
  <c r="M19" i="6"/>
  <c r="B8" i="15" s="1"/>
  <c r="H19" i="6"/>
  <c r="C19" i="6"/>
  <c r="M18" i="6"/>
  <c r="B7" i="15" s="1"/>
  <c r="H18" i="6"/>
  <c r="C18" i="6"/>
  <c r="Q17" i="6"/>
  <c r="Q20" i="6" s="1"/>
  <c r="P17" i="6"/>
  <c r="O17" i="6"/>
  <c r="O20" i="6" s="1"/>
  <c r="N17" i="6"/>
  <c r="M17" i="6"/>
  <c r="B6" i="15" s="1"/>
  <c r="B5" i="15" s="1"/>
  <c r="L17" i="6"/>
  <c r="K17" i="6"/>
  <c r="K20" i="6" s="1"/>
  <c r="J17" i="6"/>
  <c r="I17" i="6"/>
  <c r="I20" i="6" s="1"/>
  <c r="G17" i="6"/>
  <c r="G20" i="6" s="1"/>
  <c r="F17" i="6"/>
  <c r="E17" i="6"/>
  <c r="E20" i="6" s="1"/>
  <c r="C17" i="6"/>
  <c r="C20" i="6" s="1"/>
  <c r="C26" i="6" s="1"/>
  <c r="D15" i="6"/>
  <c r="C15" i="6"/>
  <c r="H15" i="6" s="1"/>
  <c r="M11" i="6"/>
  <c r="H11" i="6"/>
  <c r="C11" i="6"/>
  <c r="H9" i="6"/>
  <c r="M9" i="6" s="1"/>
  <c r="C9" i="6"/>
  <c r="M6" i="14"/>
  <c r="D6" i="14"/>
  <c r="B6" i="14"/>
  <c r="H6" i="14"/>
  <c r="O6" i="14"/>
  <c r="I6" i="14"/>
  <c r="C6" i="14"/>
  <c r="J6" i="14"/>
  <c r="N6" i="14"/>
  <c r="E6" i="14"/>
  <c r="F65" i="6" l="1"/>
  <c r="H65" i="6"/>
  <c r="I15" i="6"/>
  <c r="M15" i="6"/>
  <c r="N15" i="6" s="1"/>
  <c r="I28" i="6"/>
  <c r="I26" i="6"/>
  <c r="O26" i="6"/>
  <c r="O28" i="6"/>
  <c r="Q28" i="6"/>
  <c r="Q26" i="6"/>
  <c r="O16" i="7"/>
  <c r="O15" i="7" s="1"/>
  <c r="M65" i="6" s="1"/>
  <c r="I65" i="6"/>
  <c r="K26" i="6"/>
  <c r="K28" i="6"/>
  <c r="E26" i="6"/>
  <c r="E28" i="6"/>
  <c r="G28" i="6"/>
  <c r="G26" i="6"/>
  <c r="C28" i="6"/>
  <c r="G20" i="7"/>
  <c r="D57" i="6"/>
  <c r="M34" i="6"/>
  <c r="I34" i="6"/>
  <c r="M11" i="7"/>
  <c r="L10" i="7"/>
  <c r="H15" i="7"/>
  <c r="L16" i="7"/>
  <c r="L15" i="7" s="1"/>
  <c r="D28" i="6"/>
  <c r="F28" i="6"/>
  <c r="J28" i="6"/>
  <c r="L28" i="6"/>
  <c r="N28" i="6"/>
  <c r="P28" i="6"/>
  <c r="H17" i="6"/>
  <c r="H20" i="6" s="1"/>
  <c r="H26" i="6" s="1"/>
  <c r="M20" i="6"/>
  <c r="M26" i="6" s="1"/>
  <c r="D34" i="6"/>
  <c r="H52" i="6"/>
  <c r="Q21" i="7" s="1"/>
  <c r="Q21" i="13" s="1"/>
  <c r="C68" i="6"/>
  <c r="E68" i="6"/>
  <c r="G68" i="6"/>
  <c r="I68" i="6"/>
  <c r="H7" i="7"/>
  <c r="G9" i="7"/>
  <c r="C6" i="15"/>
  <c r="C9" i="13"/>
  <c r="D68" i="6"/>
  <c r="F68" i="6"/>
  <c r="H68" i="6"/>
  <c r="J68" i="6"/>
  <c r="L11" i="7"/>
  <c r="G10" i="7"/>
  <c r="G12" i="7"/>
  <c r="L7" i="13"/>
  <c r="M7" i="13"/>
  <c r="Q7" i="13" s="1"/>
  <c r="L11" i="13"/>
  <c r="H10" i="13"/>
  <c r="C24" i="7"/>
  <c r="G25" i="13"/>
  <c r="G10" i="13"/>
  <c r="C7" i="15" s="1"/>
  <c r="D7" i="15" s="1"/>
  <c r="F7" i="15" s="1"/>
  <c r="L3" i="14"/>
  <c r="P3" i="14" s="1"/>
  <c r="K3" i="14"/>
  <c r="F3" i="14"/>
  <c r="B4" i="15"/>
  <c r="C4" i="15" s="1"/>
  <c r="G6" i="14"/>
  <c r="B5" i="14"/>
  <c r="D6" i="15" l="1"/>
  <c r="F6" i="15" s="1"/>
  <c r="L7" i="7"/>
  <c r="M7" i="7"/>
  <c r="Q7" i="7" s="1"/>
  <c r="L20" i="7"/>
  <c r="E57" i="6"/>
  <c r="Q20" i="7" s="1"/>
  <c r="G23" i="7"/>
  <c r="M11" i="13"/>
  <c r="L10" i="13"/>
  <c r="H25" i="7"/>
  <c r="C66" i="6"/>
  <c r="G18" i="7"/>
  <c r="C9" i="7"/>
  <c r="M28" i="6"/>
  <c r="M16" i="7"/>
  <c r="G65" i="6"/>
  <c r="M10" i="7"/>
  <c r="Q10" i="7" s="1"/>
  <c r="Q11" i="7"/>
  <c r="R34" i="6"/>
  <c r="N34" i="6"/>
  <c r="G20" i="13"/>
  <c r="G19" i="7"/>
  <c r="H28" i="6"/>
  <c r="C18" i="7" l="1"/>
  <c r="M10" i="13"/>
  <c r="Q11" i="13"/>
  <c r="Q20" i="13"/>
  <c r="Q19" i="7"/>
  <c r="W34" i="6"/>
  <c r="S34" i="6"/>
  <c r="Q16" i="7"/>
  <c r="Q15" i="7" s="1"/>
  <c r="M15" i="7"/>
  <c r="K65" i="6" s="1"/>
  <c r="G19" i="13"/>
  <c r="F19" i="7"/>
  <c r="C19" i="7"/>
  <c r="E19" i="7"/>
  <c r="H24" i="7"/>
  <c r="L25" i="7"/>
  <c r="L24" i="7" s="1"/>
  <c r="G23" i="13"/>
  <c r="L23" i="7"/>
  <c r="G22" i="7"/>
  <c r="Q23" i="7"/>
  <c r="L20" i="13"/>
  <c r="L19" i="7"/>
  <c r="L6" i="14"/>
  <c r="C19" i="13" l="1"/>
  <c r="F19" i="13"/>
  <c r="C10" i="15"/>
  <c r="AB34" i="6"/>
  <c r="X34" i="6"/>
  <c r="Q10" i="13"/>
  <c r="G22" i="13"/>
  <c r="C11" i="15" s="1"/>
  <c r="D11" i="15" s="1"/>
  <c r="F11" i="15" s="1"/>
  <c r="E22" i="7"/>
  <c r="E22" i="13" s="1"/>
  <c r="C22" i="7"/>
  <c r="C22" i="13" s="1"/>
  <c r="F22" i="7"/>
  <c r="F22" i="13" s="1"/>
  <c r="D22" i="7"/>
  <c r="D22" i="13" s="1"/>
  <c r="M25" i="7"/>
  <c r="G66" i="6"/>
  <c r="L19" i="13"/>
  <c r="J19" i="7"/>
  <c r="H19" i="7"/>
  <c r="K19" i="7"/>
  <c r="Q23" i="13"/>
  <c r="L23" i="13"/>
  <c r="E27" i="7"/>
  <c r="E19" i="13"/>
  <c r="D19" i="7"/>
  <c r="G27" i="7"/>
  <c r="Q19" i="13"/>
  <c r="P19" i="7"/>
  <c r="O19" i="7"/>
  <c r="M19" i="7"/>
  <c r="D10" i="14"/>
  <c r="E10" i="14"/>
  <c r="C10" i="14"/>
  <c r="B10" i="14"/>
  <c r="D9" i="14"/>
  <c r="B9" i="14"/>
  <c r="E9" i="14"/>
  <c r="P19" i="13" l="1"/>
  <c r="Q25" i="7"/>
  <c r="Q24" i="7" s="1"/>
  <c r="M24" i="7"/>
  <c r="K66" i="6" s="1"/>
  <c r="F27" i="7"/>
  <c r="C27" i="7"/>
  <c r="O19" i="13"/>
  <c r="D19" i="13"/>
  <c r="D27" i="7"/>
  <c r="K19" i="13"/>
  <c r="J19" i="13"/>
  <c r="M19" i="13"/>
  <c r="N19" i="7"/>
  <c r="G28" i="7"/>
  <c r="G34" i="7" s="1"/>
  <c r="I19" i="7"/>
  <c r="H19" i="13"/>
  <c r="AG34" i="6"/>
  <c r="AH34" i="6" s="1"/>
  <c r="AC34" i="6"/>
  <c r="D10" i="15"/>
  <c r="F10" i="15" s="1"/>
  <c r="N9" i="14"/>
  <c r="I9" i="14"/>
  <c r="O9" i="14"/>
  <c r="J9" i="14"/>
  <c r="L9" i="14"/>
  <c r="C9" i="14"/>
  <c r="G9" i="14"/>
  <c r="N19" i="13" l="1"/>
  <c r="I19" i="13"/>
  <c r="G31" i="7"/>
  <c r="C28" i="7"/>
  <c r="C31" i="7"/>
  <c r="H9" i="14"/>
  <c r="M9" i="14"/>
  <c r="D9" i="7" l="1"/>
  <c r="C67" i="6"/>
  <c r="C34" i="7"/>
  <c r="D18" i="7" l="1"/>
  <c r="C71" i="6"/>
  <c r="C70" i="6"/>
  <c r="D28" i="7" l="1"/>
  <c r="D31" i="7" s="1"/>
  <c r="C72" i="6"/>
  <c r="C73" i="6" s="1"/>
  <c r="C77" i="6" l="1"/>
  <c r="C81" i="6" s="1"/>
  <c r="C76" i="6"/>
  <c r="D67" i="6"/>
  <c r="E9" i="7"/>
  <c r="D34" i="7"/>
  <c r="E18" i="7" l="1"/>
  <c r="C26" i="13"/>
  <c r="C80" i="6"/>
  <c r="C75" i="6"/>
  <c r="D71" i="6"/>
  <c r="D70" i="6"/>
  <c r="E28" i="7" l="1"/>
  <c r="C17" i="13"/>
  <c r="C79" i="6"/>
  <c r="D72" i="6" s="1"/>
  <c r="D73" i="6" s="1"/>
  <c r="C24" i="13"/>
  <c r="B11" i="14"/>
  <c r="D77" i="6" l="1"/>
  <c r="D81" i="6" s="1"/>
  <c r="D76" i="6"/>
  <c r="C15" i="13"/>
  <c r="F9" i="7"/>
  <c r="E67" i="6"/>
  <c r="E34" i="7"/>
  <c r="H25" i="13"/>
  <c r="C27" i="13"/>
  <c r="E31" i="7"/>
  <c r="B7" i="14"/>
  <c r="B13" i="14" l="1"/>
  <c r="E71" i="6"/>
  <c r="E70" i="6"/>
  <c r="H16" i="13"/>
  <c r="C18" i="13"/>
  <c r="D26" i="13"/>
  <c r="D80" i="6"/>
  <c r="D75" i="6"/>
  <c r="F18" i="7"/>
  <c r="D17" i="13" l="1"/>
  <c r="D79" i="6"/>
  <c r="D24" i="13"/>
  <c r="F28" i="7"/>
  <c r="C28" i="13"/>
  <c r="E72" i="6"/>
  <c r="E73" i="6" s="1"/>
  <c r="E76" i="6" s="1"/>
  <c r="C11" i="14"/>
  <c r="E26" i="13" l="1"/>
  <c r="E80" i="6"/>
  <c r="E75" i="6"/>
  <c r="D9" i="13"/>
  <c r="C34" i="13"/>
  <c r="L9" i="7"/>
  <c r="F34" i="7"/>
  <c r="C31" i="13"/>
  <c r="F31" i="7"/>
  <c r="E77" i="6"/>
  <c r="E81" i="6" s="1"/>
  <c r="F67" i="6" s="1"/>
  <c r="I25" i="13"/>
  <c r="D27" i="13"/>
  <c r="D15" i="13"/>
  <c r="C7" i="14"/>
  <c r="C13" i="14" l="1"/>
  <c r="F71" i="6"/>
  <c r="F70" i="6"/>
  <c r="I16" i="13"/>
  <c r="H9" i="7"/>
  <c r="L18" i="7"/>
  <c r="D18" i="13"/>
  <c r="E17" i="13"/>
  <c r="E79" i="6"/>
  <c r="E24" i="13"/>
  <c r="D11" i="14"/>
  <c r="D28" i="13" l="1"/>
  <c r="L22" i="7"/>
  <c r="J25" i="13"/>
  <c r="E27" i="13"/>
  <c r="E15" i="13"/>
  <c r="H18" i="7"/>
  <c r="F72" i="6"/>
  <c r="F73" i="6" s="1"/>
  <c r="D7" i="14"/>
  <c r="D13" i="14" l="1"/>
  <c r="F76" i="6"/>
  <c r="F77" i="6"/>
  <c r="F81" i="6" s="1"/>
  <c r="E9" i="13"/>
  <c r="D34" i="13"/>
  <c r="J16" i="13"/>
  <c r="L22" i="13"/>
  <c r="K22" i="7"/>
  <c r="J22" i="7"/>
  <c r="H22" i="7"/>
  <c r="L27" i="7"/>
  <c r="D31" i="13"/>
  <c r="L28" i="7" l="1"/>
  <c r="L34" i="7" s="1"/>
  <c r="K22" i="13"/>
  <c r="K27" i="7"/>
  <c r="E18" i="13"/>
  <c r="F26" i="13"/>
  <c r="F80" i="6"/>
  <c r="F75" i="6"/>
  <c r="J22" i="13"/>
  <c r="J27" i="7"/>
  <c r="H22" i="13"/>
  <c r="H27" i="7"/>
  <c r="I22" i="7"/>
  <c r="J10" i="14"/>
  <c r="G10" i="14"/>
  <c r="I10" i="14"/>
  <c r="E28" i="13" l="1"/>
  <c r="E31" i="13" s="1"/>
  <c r="L31" i="7"/>
  <c r="I22" i="13"/>
  <c r="I27" i="7"/>
  <c r="H28" i="7"/>
  <c r="H31" i="7" s="1"/>
  <c r="F17" i="13"/>
  <c r="F79" i="6"/>
  <c r="F24" i="13"/>
  <c r="G26" i="13"/>
  <c r="G24" i="13" s="1"/>
  <c r="E11" i="14"/>
  <c r="H10" i="14"/>
  <c r="K25" i="13" l="1"/>
  <c r="F27" i="13"/>
  <c r="F15" i="13"/>
  <c r="G17" i="13"/>
  <c r="G15" i="13" s="1"/>
  <c r="C12" i="15"/>
  <c r="G27" i="13"/>
  <c r="I9" i="7"/>
  <c r="G67" i="6"/>
  <c r="H34" i="7"/>
  <c r="F9" i="13"/>
  <c r="E34" i="13"/>
  <c r="E7" i="14"/>
  <c r="E13" i="14" l="1"/>
  <c r="G71" i="6"/>
  <c r="G70" i="6"/>
  <c r="C8" i="15"/>
  <c r="G18" i="13"/>
  <c r="F18" i="13"/>
  <c r="I18" i="7"/>
  <c r="D12" i="15"/>
  <c r="F12" i="15" s="1"/>
  <c r="C9" i="15"/>
  <c r="D9" i="15" s="1"/>
  <c r="F9" i="15" s="1"/>
  <c r="K16" i="13"/>
  <c r="L25" i="13"/>
  <c r="F28" i="13" l="1"/>
  <c r="L16" i="13"/>
  <c r="I28" i="7"/>
  <c r="G28" i="13"/>
  <c r="G31" i="13" s="1"/>
  <c r="D8" i="15"/>
  <c r="F8" i="15" s="1"/>
  <c r="C5" i="15"/>
  <c r="D5" i="15" s="1"/>
  <c r="F5" i="15" s="1"/>
  <c r="G72" i="6"/>
  <c r="G73" i="6" s="1"/>
  <c r="G77" i="6" l="1"/>
  <c r="G81" i="6" s="1"/>
  <c r="H67" i="6" s="1"/>
  <c r="G76" i="6"/>
  <c r="J9" i="7"/>
  <c r="I34" i="7"/>
  <c r="L9" i="13"/>
  <c r="F34" i="13"/>
  <c r="C13" i="15"/>
  <c r="D13" i="15" s="1"/>
  <c r="F13" i="15" s="1"/>
  <c r="G34" i="13"/>
  <c r="I31" i="7"/>
  <c r="F31" i="13"/>
  <c r="H71" i="6" l="1"/>
  <c r="H70" i="6"/>
  <c r="H26" i="13"/>
  <c r="G80" i="6"/>
  <c r="G75" i="6"/>
  <c r="H9" i="13"/>
  <c r="J18" i="7"/>
  <c r="H24" i="13" l="1"/>
  <c r="H17" i="13"/>
  <c r="G79" i="6"/>
  <c r="H72" i="6" s="1"/>
  <c r="H73" i="6" s="1"/>
  <c r="J28" i="7"/>
  <c r="J31" i="7" s="1"/>
  <c r="G11" i="14"/>
  <c r="H76" i="6" l="1"/>
  <c r="H77" i="6"/>
  <c r="H81" i="6" s="1"/>
  <c r="M25" i="13"/>
  <c r="H27" i="13"/>
  <c r="K9" i="7"/>
  <c r="I67" i="6"/>
  <c r="J34" i="7"/>
  <c r="H15" i="13"/>
  <c r="G7" i="14"/>
  <c r="G13" i="14" l="1"/>
  <c r="I71" i="6"/>
  <c r="I70" i="6"/>
  <c r="M16" i="13"/>
  <c r="H18" i="13"/>
  <c r="K18" i="7"/>
  <c r="I26" i="13"/>
  <c r="H80" i="6"/>
  <c r="H75" i="6"/>
  <c r="I17" i="13" l="1"/>
  <c r="H79" i="6"/>
  <c r="I72" i="6" s="1"/>
  <c r="I73" i="6" s="1"/>
  <c r="I24" i="13"/>
  <c r="K28" i="7"/>
  <c r="K31" i="7" s="1"/>
  <c r="H28" i="13"/>
  <c r="H31" i="13" s="1"/>
  <c r="H11" i="14"/>
  <c r="I76" i="6" l="1"/>
  <c r="I77" i="6"/>
  <c r="I81" i="6" s="1"/>
  <c r="J67" i="6" s="1"/>
  <c r="I9" i="13"/>
  <c r="H34" i="13"/>
  <c r="Q9" i="7"/>
  <c r="K34" i="7"/>
  <c r="N25" i="13"/>
  <c r="I27" i="13"/>
  <c r="I15" i="13"/>
  <c r="H7" i="14"/>
  <c r="H13" i="14" l="1"/>
  <c r="J71" i="6"/>
  <c r="J70" i="6"/>
  <c r="N16" i="13"/>
  <c r="Q18" i="7"/>
  <c r="M9" i="7"/>
  <c r="I18" i="13"/>
  <c r="J26" i="13"/>
  <c r="I80" i="6"/>
  <c r="I75" i="6"/>
  <c r="I28" i="13" l="1"/>
  <c r="I31" i="13" s="1"/>
  <c r="M18" i="7"/>
  <c r="J17" i="13"/>
  <c r="I79" i="6"/>
  <c r="J72" i="6" s="1"/>
  <c r="J73" i="6" s="1"/>
  <c r="J24" i="13"/>
  <c r="Q22" i="7"/>
  <c r="I11" i="14"/>
  <c r="J77" i="6" l="1"/>
  <c r="J81" i="6" s="1"/>
  <c r="J76" i="6"/>
  <c r="Q22" i="13"/>
  <c r="O22" i="7"/>
  <c r="M22" i="7"/>
  <c r="P22" i="7"/>
  <c r="Q27" i="7"/>
  <c r="J15" i="13"/>
  <c r="O25" i="13"/>
  <c r="J27" i="13"/>
  <c r="J9" i="13"/>
  <c r="I34" i="13"/>
  <c r="I7" i="14"/>
  <c r="N22" i="7" l="1"/>
  <c r="N22" i="13" s="1"/>
  <c r="I13" i="14"/>
  <c r="J18" i="13"/>
  <c r="O16" i="13"/>
  <c r="Q28" i="7"/>
  <c r="Q34" i="7" s="1"/>
  <c r="N27" i="7"/>
  <c r="O22" i="13"/>
  <c r="O27" i="7"/>
  <c r="K26" i="13"/>
  <c r="J80" i="6"/>
  <c r="J75" i="6"/>
  <c r="P22" i="13"/>
  <c r="P27" i="7"/>
  <c r="M22" i="13"/>
  <c r="M27" i="7"/>
  <c r="O10" i="14"/>
  <c r="N10" i="14"/>
  <c r="L10" i="14"/>
  <c r="M10" i="14"/>
  <c r="M28" i="7" l="1"/>
  <c r="M31" i="7" s="1"/>
  <c r="Q31" i="7"/>
  <c r="K17" i="13"/>
  <c r="J79" i="6"/>
  <c r="K24" i="13"/>
  <c r="L26" i="13"/>
  <c r="L24" i="13" s="1"/>
  <c r="L27" i="13" s="1"/>
  <c r="J28" i="13"/>
  <c r="J31" i="13" s="1"/>
  <c r="J11" i="14"/>
  <c r="K15" i="13" l="1"/>
  <c r="L17" i="13"/>
  <c r="L15" i="13" s="1"/>
  <c r="P25" i="13"/>
  <c r="K27" i="13"/>
  <c r="K9" i="13"/>
  <c r="J34" i="13"/>
  <c r="N9" i="7"/>
  <c r="K67" i="6"/>
  <c r="M34" i="7"/>
  <c r="J7" i="14"/>
  <c r="J13" i="14" l="1"/>
  <c r="L18" i="13"/>
  <c r="K71" i="6"/>
  <c r="K70" i="6"/>
  <c r="N18" i="7"/>
  <c r="K18" i="13"/>
  <c r="Q25" i="13"/>
  <c r="P16" i="13"/>
  <c r="N28" i="7" l="1"/>
  <c r="K28" i="13"/>
  <c r="K31" i="13"/>
  <c r="Q16" i="13"/>
  <c r="K72" i="6"/>
  <c r="K73" i="6" s="1"/>
  <c r="L28" i="13"/>
  <c r="L34" i="13" s="1"/>
  <c r="K76" i="6" l="1"/>
  <c r="K77" i="6"/>
  <c r="K81" i="6" s="1"/>
  <c r="L67" i="6" s="1"/>
  <c r="O9" i="7"/>
  <c r="N34" i="7"/>
  <c r="L31" i="13"/>
  <c r="Q9" i="13"/>
  <c r="K34" i="13"/>
  <c r="N31" i="7"/>
  <c r="L71" i="6" l="1"/>
  <c r="L70" i="6"/>
  <c r="M9" i="13"/>
  <c r="O18" i="7"/>
  <c r="M26" i="13"/>
  <c r="K80" i="6"/>
  <c r="K75" i="6"/>
  <c r="O28" i="7" l="1"/>
  <c r="M17" i="13"/>
  <c r="K79" i="6"/>
  <c r="L72" i="6" s="1"/>
  <c r="L73" i="6" s="1"/>
  <c r="M24" i="13"/>
  <c r="L11" i="14"/>
  <c r="L76" i="6" l="1"/>
  <c r="L77" i="6"/>
  <c r="L81" i="6" s="1"/>
  <c r="P9" i="7"/>
  <c r="M67" i="6"/>
  <c r="O34" i="7"/>
  <c r="M27" i="13"/>
  <c r="M15" i="13"/>
  <c r="O31" i="7"/>
  <c r="L7" i="14"/>
  <c r="L13" i="14" l="1"/>
  <c r="M71" i="6"/>
  <c r="M70" i="6"/>
  <c r="M18" i="13"/>
  <c r="P18" i="7"/>
  <c r="N26" i="13"/>
  <c r="L80" i="6"/>
  <c r="L75" i="6"/>
  <c r="P28" i="7" l="1"/>
  <c r="P31" i="7" s="1"/>
  <c r="M28" i="13"/>
  <c r="M31" i="13" s="1"/>
  <c r="N17" i="13"/>
  <c r="L79" i="6"/>
  <c r="N24" i="13"/>
  <c r="M72" i="6"/>
  <c r="M73" i="6" s="1"/>
  <c r="M76" i="6" s="1"/>
  <c r="M11" i="14"/>
  <c r="O26" i="13" l="1"/>
  <c r="M80" i="6"/>
  <c r="M75" i="6"/>
  <c r="N27" i="13"/>
  <c r="N15" i="13"/>
  <c r="M77" i="6"/>
  <c r="M81" i="6" s="1"/>
  <c r="N9" i="13"/>
  <c r="M34" i="13"/>
  <c r="N67" i="6"/>
  <c r="P34" i="7"/>
  <c r="M7" i="14"/>
  <c r="M13" i="14" l="1"/>
  <c r="N71" i="6"/>
  <c r="N70" i="6"/>
  <c r="N18" i="13"/>
  <c r="O17" i="13"/>
  <c r="M79" i="6"/>
  <c r="O24" i="13"/>
  <c r="N11" i="14"/>
  <c r="O27" i="13" l="1"/>
  <c r="O15" i="13"/>
  <c r="N28" i="13"/>
  <c r="N72" i="6"/>
  <c r="N73" i="6" s="1"/>
  <c r="N7" i="14"/>
  <c r="N13" i="14" l="1"/>
  <c r="N77" i="6"/>
  <c r="N81" i="6" s="1"/>
  <c r="N76" i="6"/>
  <c r="O9" i="13"/>
  <c r="N34" i="13"/>
  <c r="N31" i="13"/>
  <c r="O18" i="13" l="1"/>
  <c r="P26" i="13"/>
  <c r="N80" i="6"/>
  <c r="N75" i="6"/>
  <c r="O28" i="13" l="1"/>
  <c r="O31" i="13" s="1"/>
  <c r="P17" i="13"/>
  <c r="N79" i="6"/>
  <c r="P24" i="13"/>
  <c r="Q26" i="13"/>
  <c r="Q24" i="13" s="1"/>
  <c r="Q27" i="13" s="1"/>
  <c r="O11" i="14"/>
  <c r="P27" i="13" l="1"/>
  <c r="P15" i="13"/>
  <c r="Q17" i="13"/>
  <c r="Q15" i="13" s="1"/>
  <c r="P9" i="13"/>
  <c r="O34" i="13"/>
  <c r="O7" i="14"/>
  <c r="O13" i="14" l="1"/>
  <c r="P18" i="13"/>
  <c r="Q18" i="13"/>
  <c r="Q28" i="13" l="1"/>
  <c r="Q34" i="13" s="1"/>
  <c r="P28" i="13"/>
  <c r="P34" i="13" s="1"/>
  <c r="Q31" i="13" l="1"/>
  <c r="P31" i="13"/>
</calcChain>
</file>

<file path=xl/sharedStrings.xml><?xml version="1.0" encoding="utf-8"?>
<sst xmlns="http://schemas.openxmlformats.org/spreadsheetml/2006/main" count="331" uniqueCount="125">
  <si>
    <t>1 кв.</t>
  </si>
  <si>
    <t>2 кв.</t>
  </si>
  <si>
    <t>3 кв.</t>
  </si>
  <si>
    <t>4 кв.</t>
  </si>
  <si>
    <t>Запасы на начало периода</t>
  </si>
  <si>
    <t>Потери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</si>
  <si>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</si>
  <si>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</si>
  <si>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</si>
  <si>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</si>
  <si>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</si>
  <si>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</si>
  <si>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</si>
  <si>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</si>
  <si>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</si>
  <si>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</si>
  <si>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</si>
  <si>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</si>
  <si>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2.2 Потери</t>
  </si>
  <si>
    <t>Наименование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</si>
  <si>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</si>
  <si>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</si>
  <si>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</si>
  <si>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</si>
  <si>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</si>
  <si>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</si>
  <si>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</si>
  <si>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</si>
  <si>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</si>
  <si>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</si>
  <si>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</si>
  <si>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</si>
  <si>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</si>
  <si>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</si>
  <si>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</si>
  <si>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</si>
  <si>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</si>
  <si>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</si>
  <si>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</si>
  <si>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</si>
  <si>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</si>
  <si>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</si>
  <si>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Объем переработки на продовольственные цели в предыдущем году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</si>
  <si>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</si>
  <si>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</si>
  <si>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</si>
  <si>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</si>
  <si>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2.3 Вывоз, включая экспорт</t>
  </si>
  <si>
    <t>Объем вывоза, включая экспорт в предыдущем году</t>
  </si>
  <si>
    <t xml:space="preserve">Изменение вывоза относительно предыдущего года 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</si>
  <si>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</si>
  <si>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</si>
  <si>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</si>
  <si>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</si>
  <si>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</si>
  <si>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</si>
  <si>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</si>
  <si>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</si>
  <si>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</si>
  <si>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Проверка на Контрольную сумму</t>
  </si>
  <si>
    <t>Проверка</t>
  </si>
  <si>
    <t>3.2. Сумма, на которую возможно уменьшить запасы на конец периода при сторнировании</t>
  </si>
  <si>
    <t>3.2.1. Сторно ввоза</t>
  </si>
  <si>
    <t>3.2.2. Сторно вывоза</t>
  </si>
  <si>
    <t>(В таблице рассчитываются коэффициенты для распределения годовых прогнозных значений на квартальные)</t>
  </si>
  <si>
    <t>2.1 Личное потребление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</si>
  <si>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</si>
  <si>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</si>
  <si>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</si>
  <si>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</si>
  <si>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</si>
  <si>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Личное потребление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</si>
  <si>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</si>
  <si>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</si>
  <si>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</si>
  <si>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</si>
  <si>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</si>
  <si>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</si>
  <si>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</si>
  <si>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</si>
  <si>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</si>
  <si>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</si>
  <si>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</si>
  <si>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</si>
  <si>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</si>
  <si>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</si>
  <si>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</si>
  <si>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Численность населения на соответствующий год</t>
  </si>
  <si>
    <t>тыс. т</t>
  </si>
  <si>
    <t>тыс. чел.</t>
  </si>
  <si>
    <t xml:space="preserve">1.2 Производство </t>
  </si>
  <si>
    <t>(Таблица содержит фактические значения за 3 предыдущих года и плановые на 3 прогнозных года.</t>
  </si>
  <si>
    <t>Таблица 1 - Данные по инвестиционным проектам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</si>
  <si>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</t>
  </si>
  <si>
    <r>
      <t xml:space="preserve">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</si>
  <si>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Таблица 2 - Статистическая база для разработки прогноза квартальных показателей</t>
  </si>
  <si>
    <t>Таблица 3 - Данные для корректировки прогноза согласно уровня исторического минимума</t>
  </si>
  <si>
    <t>Таблица 4 - Распределение годовых значений по кварталам</t>
  </si>
  <si>
    <t>Таблица 5 - Данные прогноза социально-экономического развития</t>
  </si>
  <si>
    <t>Таблица 6 - Данные прогноза социально-экономического развития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</si>
  <si>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</si>
  <si>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</si>
  <si>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>уд. вес</t>
  </si>
  <si>
    <t>Производство (п.1.2 Баланса)</t>
  </si>
  <si>
    <t>Проверка на наличие данных в Балансе: если значение больше "0", значит проверка пройдена</t>
  </si>
  <si>
    <t>запасов для авто корректировки на листе "3.Прогноз.С_корректировкой таб7")</t>
  </si>
  <si>
    <t>Проверка на наличие данных в Запасах: если значение больше "0", значит проверка пройдена</t>
  </si>
  <si>
    <t>Контрольная сумма: если значение не равно "0", значит необходимо скорректировать данные баланса Таблицы 2 и запасов Таблицы 3</t>
  </si>
  <si>
    <r>
      <t xml:space="preserve"> Плановые значения по показателю</t>
    </r>
    <r>
      <rPr>
        <i/>
        <sz val="10"/>
        <color rgb="FFFF0000"/>
        <rFont val="Times New Roman"/>
        <family val="1"/>
        <charset val="204"/>
      </rPr>
      <t xml:space="preserve"> "Прогнозная численность населения на соответствующий год"</t>
    </r>
    <r>
      <rPr>
        <i/>
        <sz val="10"/>
        <color theme="9" tint="-0.249977111117893"/>
        <rFont val="Times New Roman"/>
        <family val="1"/>
        <charset val="204"/>
      </rPr>
      <t xml:space="preserve"> вносится на основании прогноза социально-</t>
    </r>
  </si>
  <si>
    <r>
      <t xml:space="preserve">экономического развития Региона.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"2.1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</si>
  <si>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(Таблица содержит фактические значения за 3 прогнозных года.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"2.1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</si>
  <si>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(В таблице выполняется расчет значений для корректировок, согласно уровня исторического минимума запасов на конец периода,</t>
  </si>
  <si>
    <t xml:space="preserve"> а также компенсаций произведенных корректировок в последующих кварталах прогнозного года)</t>
  </si>
  <si>
    <t xml:space="preserve">Прогнозная численность населения </t>
  </si>
  <si>
    <t>Производство сыра и сырных продуктов</t>
  </si>
  <si>
    <t>Cреднедушевое потребление сыра и сырных продуктов</t>
  </si>
  <si>
    <t>Прогнозное среднедушевое потребление сыра и сырных продуктов</t>
  </si>
  <si>
    <t>кг/чел.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</si>
  <si>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</si>
  <si>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</si>
  <si>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</si>
  <si>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</si>
  <si>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1.2 Производство</t>
  </si>
  <si>
    <t>000297443</t>
  </si>
  <si>
    <t>Увеличение торговых запасов на складах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</si>
</sst>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00"/>
    <numFmt numFmtId="166" formatCode="_-* #,##0.00,_₽_-;\-* #,##0.00,_₽_-;_-* \-??\ _₽_-;_-@_-"/>
    <numFmt numFmtId="167" formatCode="0&quot; кв.&quot;"/>
    <numFmt numFmtId="168" formatCode="#,##0.000"/>
    <numFmt numFmtId="169" formatCode="#,##0_ ;[Red]\-#,##0\ "/>
    <numFmt numFmtId="170" formatCode="#,##0.000_ ;\-#,##0.000\ "/>
  </numFmts>
  <fonts count="38" x14ac:knownFonts="1">
    <font>
      <sz val="11"/>
      <color rgb="FF000000"/>
      <name val="Calibri"/>
      <family val="2"/>
      <charset val="1"/>
    </font>
    <font>
      <sz val="11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indexed="55"/>
      <name val="Times New Roman"/>
      <family val="1"/>
      <charset val="204"/>
    </font>
    <font>
      <sz val="11"/>
      <color indexed="45"/>
      <name val="Calibri"/>
      <family val="2"/>
      <charset val="1"/>
    </font>
    <font>
      <i/>
      <sz val="10"/>
      <name val="Times New Roman"/>
      <family val="1"/>
      <charset val="204"/>
    </font>
    <font>
      <sz val="11"/>
      <color indexed="55"/>
      <name val="Calibri"/>
      <family val="2"/>
      <charset val="1"/>
    </font>
    <font>
      <i/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  <font>
      <sz val="11"/>
      <color indexed="33"/>
      <name val="Calibri"/>
      <family val="2"/>
      <charset val="1"/>
    </font>
    <font>
      <b/>
      <sz val="11"/>
      <color indexed="45"/>
      <name val="Calibri"/>
      <family val="2"/>
      <charset val="204"/>
    </font>
    <font>
      <sz val="8"/>
      <name val="Calibri"/>
      <family val="2"/>
      <charset val="1"/>
    </font>
    <font>
      <i/>
      <sz val="11"/>
      <color indexed="55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0070C0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indexed="55"/>
      <name val="Calibri"/>
      <family val="2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3"/>
        <bgColor indexed="18"/>
      </patternFill>
    </fill>
    <fill>
      <patternFill patternType="solid">
        <fgColor indexed="33"/>
        <bgColor indexed="64"/>
      </patternFill>
    </fill>
    <fill>
      <patternFill patternType="lightUp">
        <fgColor indexed="55"/>
        <bgColor indexed="1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solid">
        <fgColor theme="0"/>
        <bgColor rgb="FFEBF1DE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0"/>
        <b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9CDE5"/>
        <bgColor indexed="55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4" fillId="0" borderId="0"/>
    <xf numFmtId="166" fontId="19" fillId="0" borderId="0" applyBorder="0" applyProtection="0"/>
    <xf numFmtId="166" fontId="19" fillId="0" borderId="0" applyBorder="0" applyProtection="0"/>
    <xf numFmtId="164" fontId="19" fillId="0" borderId="0" applyFont="0" applyFill="0" applyBorder="0" applyAlignment="0" applyProtection="0"/>
    <xf numFmtId="0" fontId="14" fillId="0" borderId="0"/>
  </cellStyleXfs>
  <cellXfs count="464">
    <xf numFmtId="0" fontId="0" fillId="0" borderId="0" xfId="0"/>
    <xf numFmtId="0" fontId="1" fillId="0" borderId="0" xfId="0" applyFont="1" applyBorder="1"/>
    <xf numFmtId="168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168" fontId="1" fillId="0" borderId="0" xfId="0" applyNumberFormat="1" applyFont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2" borderId="0" xfId="0" applyFill="1"/>
    <xf numFmtId="0" fontId="0" fillId="0" borderId="0" xfId="0" applyFill="1"/>
    <xf numFmtId="0" fontId="9" fillId="0" borderId="0" xfId="0" applyFont="1"/>
    <xf numFmtId="0" fontId="10" fillId="0" borderId="0" xfId="0" applyFont="1"/>
    <xf numFmtId="0" fontId="12" fillId="0" borderId="2" xfId="0" applyFont="1" applyFill="1" applyBorder="1" applyAlignment="1">
      <alignment horizontal="right"/>
    </xf>
    <xf numFmtId="0" fontId="11" fillId="0" borderId="0" xfId="0" applyFont="1" applyBorder="1" applyAlignment="1"/>
    <xf numFmtId="0" fontId="0" fillId="0" borderId="0" xfId="0" applyBorder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/>
    </xf>
    <xf numFmtId="0" fontId="1" fillId="0" borderId="0" xfId="0" applyFont="1" applyBorder="1" applyAlignment="1"/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168" fontId="1" fillId="0" borderId="0" xfId="0" applyNumberFormat="1" applyFont="1" applyFill="1" applyBorder="1"/>
    <xf numFmtId="168" fontId="2" fillId="0" borderId="0" xfId="0" applyNumberFormat="1" applyFont="1" applyFill="1" applyBorder="1"/>
    <xf numFmtId="0" fontId="0" fillId="0" borderId="0" xfId="0" applyFill="1" applyBorder="1"/>
    <xf numFmtId="0" fontId="15" fillId="0" borderId="0" xfId="0" applyFont="1" applyProtection="1"/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left" wrapText="1"/>
    </xf>
    <xf numFmtId="168" fontId="4" fillId="0" borderId="1" xfId="0" applyNumberFormat="1" applyFont="1" applyBorder="1" applyAlignment="1">
      <alignment horizontal="right" vertical="top"/>
    </xf>
    <xf numFmtId="3" fontId="20" fillId="6" borderId="1" xfId="0" applyNumberFormat="1" applyFont="1" applyFill="1" applyBorder="1"/>
    <xf numFmtId="168" fontId="4" fillId="0" borderId="18" xfId="0" applyNumberFormat="1" applyFont="1" applyBorder="1" applyAlignment="1">
      <alignment horizontal="right" vertical="top"/>
    </xf>
    <xf numFmtId="168" fontId="4" fillId="0" borderId="19" xfId="0" applyNumberFormat="1" applyFont="1" applyBorder="1" applyAlignment="1">
      <alignment horizontal="right" vertical="top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10" fontId="2" fillId="0" borderId="29" xfId="0" applyNumberFormat="1" applyFont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/>
    </xf>
    <xf numFmtId="10" fontId="2" fillId="0" borderId="14" xfId="0" applyNumberFormat="1" applyFont="1" applyBorder="1" applyAlignment="1">
      <alignment horizontal="center" vertical="center" wrapText="1"/>
    </xf>
    <xf numFmtId="168" fontId="0" fillId="0" borderId="0" xfId="0" applyNumberFormat="1" applyBorder="1"/>
    <xf numFmtId="0" fontId="0" fillId="0" borderId="31" xfId="0" applyBorder="1"/>
    <xf numFmtId="0" fontId="0" fillId="0" borderId="31" xfId="0" applyBorder="1" applyAlignment="1">
      <alignment horizontal="center"/>
    </xf>
    <xf numFmtId="0" fontId="1" fillId="8" borderId="0" xfId="0" applyFont="1" applyFill="1"/>
    <xf numFmtId="0" fontId="0" fillId="8" borderId="0" xfId="0" applyFill="1"/>
    <xf numFmtId="168" fontId="1" fillId="8" borderId="0" xfId="0" applyNumberFormat="1" applyFont="1" applyFill="1"/>
    <xf numFmtId="168" fontId="2" fillId="7" borderId="32" xfId="0" applyNumberFormat="1" applyFont="1" applyFill="1" applyBorder="1" applyAlignment="1">
      <alignment horizontal="right"/>
    </xf>
    <xf numFmtId="168" fontId="2" fillId="8" borderId="32" xfId="0" applyNumberFormat="1" applyFont="1" applyFill="1" applyBorder="1" applyAlignment="1">
      <alignment horizontal="right"/>
    </xf>
    <xf numFmtId="168" fontId="2" fillId="8" borderId="32" xfId="0" applyNumberFormat="1" applyFont="1" applyFill="1" applyBorder="1"/>
    <xf numFmtId="0" fontId="2" fillId="3" borderId="29" xfId="0" applyFont="1" applyFill="1" applyBorder="1"/>
    <xf numFmtId="0" fontId="8" fillId="0" borderId="0" xfId="0" applyFont="1"/>
    <xf numFmtId="166" fontId="16" fillId="0" borderId="0" xfId="3" applyFont="1" applyBorder="1" applyAlignment="1">
      <alignment horizontal="center" vertical="top" wrapText="1"/>
    </xf>
    <xf numFmtId="168" fontId="20" fillId="10" borderId="0" xfId="0" applyNumberFormat="1" applyFont="1" applyFill="1" applyBorder="1" applyAlignment="1" applyProtection="1">
      <alignment horizontal="right"/>
      <protection hidden="1"/>
    </xf>
    <xf numFmtId="168" fontId="20" fillId="11" borderId="1" xfId="0" applyNumberFormat="1" applyFont="1" applyFill="1" applyBorder="1" applyAlignment="1" applyProtection="1">
      <alignment horizontal="right"/>
      <protection locked="0"/>
    </xf>
    <xf numFmtId="168" fontId="20" fillId="11" borderId="19" xfId="0" applyNumberFormat="1" applyFont="1" applyFill="1" applyBorder="1" applyAlignment="1" applyProtection="1">
      <alignment horizontal="right"/>
      <protection locked="0"/>
    </xf>
    <xf numFmtId="168" fontId="20" fillId="11" borderId="20" xfId="0" applyNumberFormat="1" applyFont="1" applyFill="1" applyBorder="1" applyAlignment="1" applyProtection="1">
      <alignment horizontal="right"/>
      <protection locked="0"/>
    </xf>
    <xf numFmtId="168" fontId="20" fillId="11" borderId="5" xfId="0" applyNumberFormat="1" applyFont="1" applyFill="1" applyBorder="1" applyAlignment="1" applyProtection="1">
      <alignment horizontal="right"/>
      <protection locked="0"/>
    </xf>
    <xf numFmtId="168" fontId="20" fillId="11" borderId="12" xfId="0" applyNumberFormat="1" applyFont="1" applyFill="1" applyBorder="1" applyAlignment="1" applyProtection="1">
      <alignment horizontal="right"/>
      <protection locked="0"/>
    </xf>
    <xf numFmtId="0" fontId="0" fillId="0" borderId="41" xfId="0" applyBorder="1"/>
    <xf numFmtId="0" fontId="1" fillId="0" borderId="47" xfId="0" applyFont="1" applyFill="1" applyBorder="1" applyAlignment="1">
      <alignment horizontal="left" indent="1"/>
    </xf>
    <xf numFmtId="0" fontId="1" fillId="0" borderId="31" xfId="0" applyFont="1" applyFill="1" applyBorder="1" applyAlignment="1">
      <alignment horizontal="center"/>
    </xf>
    <xf numFmtId="168" fontId="20" fillId="11" borderId="8" xfId="0" applyNumberFormat="1" applyFont="1" applyFill="1" applyBorder="1" applyAlignment="1" applyProtection="1">
      <alignment horizontal="right"/>
      <protection locked="0"/>
    </xf>
    <xf numFmtId="0" fontId="1" fillId="8" borderId="4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2" fillId="0" borderId="17" xfId="0" applyNumberFormat="1" applyFont="1" applyBorder="1" applyAlignment="1">
      <alignment horizontal="right"/>
    </xf>
    <xf numFmtId="165" fontId="2" fillId="0" borderId="43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left" vertical="center" wrapText="1"/>
    </xf>
    <xf numFmtId="0" fontId="0" fillId="0" borderId="0" xfId="0" applyNumberFormat="1"/>
    <xf numFmtId="165" fontId="24" fillId="0" borderId="43" xfId="0" applyNumberFormat="1" applyFont="1" applyBorder="1" applyAlignment="1">
      <alignment horizontal="right"/>
    </xf>
    <xf numFmtId="165" fontId="24" fillId="0" borderId="16" xfId="0" applyNumberFormat="1" applyFont="1" applyBorder="1" applyAlignment="1">
      <alignment horizontal="right"/>
    </xf>
    <xf numFmtId="165" fontId="24" fillId="0" borderId="13" xfId="0" applyNumberFormat="1" applyFont="1" applyBorder="1" applyAlignment="1">
      <alignment horizontal="right"/>
    </xf>
    <xf numFmtId="165" fontId="24" fillId="0" borderId="15" xfId="0" applyNumberFormat="1" applyFont="1" applyBorder="1" applyAlignment="1">
      <alignment horizontal="right"/>
    </xf>
    <xf numFmtId="170" fontId="24" fillId="0" borderId="15" xfId="4" applyNumberFormat="1" applyFont="1" applyBorder="1" applyAlignment="1">
      <alignment horizontal="right"/>
    </xf>
    <xf numFmtId="0" fontId="4" fillId="0" borderId="43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right"/>
    </xf>
    <xf numFmtId="165" fontId="13" fillId="0" borderId="10" xfId="0" applyNumberFormat="1" applyFont="1" applyBorder="1" applyAlignment="1">
      <alignment horizontal="right"/>
    </xf>
    <xf numFmtId="0" fontId="4" fillId="0" borderId="53" xfId="0" applyNumberFormat="1" applyFont="1" applyBorder="1" applyAlignment="1">
      <alignment horizontal="left" vertical="center" wrapText="1"/>
    </xf>
    <xf numFmtId="0" fontId="0" fillId="0" borderId="0" xfId="0" applyNumberFormat="1" applyBorder="1"/>
    <xf numFmtId="0" fontId="4" fillId="0" borderId="10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right" wrapText="1"/>
    </xf>
    <xf numFmtId="165" fontId="13" fillId="0" borderId="22" xfId="0" applyNumberFormat="1" applyFont="1" applyBorder="1" applyAlignment="1">
      <alignment horizontal="right"/>
    </xf>
    <xf numFmtId="0" fontId="4" fillId="0" borderId="22" xfId="0" applyNumberFormat="1" applyFont="1" applyBorder="1" applyAlignment="1">
      <alignment horizontal="left" vertical="center" wrapText="1"/>
    </xf>
    <xf numFmtId="49" fontId="26" fillId="0" borderId="0" xfId="0" applyNumberFormat="1" applyFont="1" applyProtection="1">
      <protection locked="0"/>
    </xf>
    <xf numFmtId="0" fontId="2" fillId="8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center"/>
    </xf>
    <xf numFmtId="168" fontId="2" fillId="8" borderId="0" xfId="0" applyNumberFormat="1" applyFont="1" applyFill="1" applyBorder="1"/>
    <xf numFmtId="168" fontId="20" fillId="12" borderId="0" xfId="0" applyNumberFormat="1" applyFont="1" applyFill="1" applyBorder="1" applyAlignment="1" applyProtection="1">
      <alignment horizontal="right"/>
      <protection locked="0"/>
    </xf>
    <xf numFmtId="0" fontId="1" fillId="8" borderId="0" xfId="0" applyFont="1" applyFill="1" applyBorder="1"/>
    <xf numFmtId="0" fontId="0" fillId="0" borderId="0" xfId="0" applyAlignment="1"/>
    <xf numFmtId="10" fontId="23" fillId="0" borderId="0" xfId="0" applyNumberFormat="1" applyFont="1" applyBorder="1" applyAlignment="1">
      <alignment horizontal="left" wrapText="1"/>
    </xf>
    <xf numFmtId="0" fontId="23" fillId="0" borderId="0" xfId="0" applyFont="1" applyFill="1" applyBorder="1" applyAlignment="1">
      <alignment horizontal="center" vertical="center"/>
    </xf>
    <xf numFmtId="168" fontId="23" fillId="8" borderId="0" xfId="0" applyNumberFormat="1" applyFont="1" applyFill="1" applyBorder="1" applyAlignment="1">
      <alignment horizontal="center"/>
    </xf>
    <xf numFmtId="168" fontId="23" fillId="0" borderId="0" xfId="0" applyNumberFormat="1" applyFont="1" applyFill="1" applyBorder="1" applyAlignment="1">
      <alignment horizontal="center"/>
    </xf>
    <xf numFmtId="168" fontId="23" fillId="8" borderId="0" xfId="0" applyNumberFormat="1" applyFont="1" applyFill="1" applyBorder="1"/>
    <xf numFmtId="10" fontId="22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" fillId="0" borderId="40" xfId="0" applyFont="1" applyFill="1" applyBorder="1" applyAlignment="1">
      <alignment horizontal="left" vertical="center" wrapText="1" indent="2"/>
    </xf>
    <xf numFmtId="10" fontId="22" fillId="0" borderId="23" xfId="0" applyNumberFormat="1" applyFont="1" applyBorder="1" applyAlignment="1">
      <alignment horizontal="center" vertical="center" wrapText="1"/>
    </xf>
    <xf numFmtId="10" fontId="22" fillId="0" borderId="16" xfId="0" applyNumberFormat="1" applyFont="1" applyBorder="1" applyAlignment="1">
      <alignment horizontal="center" vertical="center" wrapText="1"/>
    </xf>
    <xf numFmtId="10" fontId="22" fillId="0" borderId="13" xfId="0" applyNumberFormat="1" applyFont="1" applyBorder="1" applyAlignment="1">
      <alignment horizontal="center" vertical="center" wrapText="1"/>
    </xf>
    <xf numFmtId="10" fontId="22" fillId="0" borderId="14" xfId="0" applyNumberFormat="1" applyFont="1" applyBorder="1" applyAlignment="1">
      <alignment horizontal="center" vertical="center" wrapText="1"/>
    </xf>
    <xf numFmtId="0" fontId="22" fillId="0" borderId="0" xfId="0" applyFont="1" applyBorder="1" applyAlignment="1"/>
    <xf numFmtId="0" fontId="22" fillId="0" borderId="3" xfId="0" applyFont="1" applyBorder="1" applyAlignment="1">
      <alignment horizontal="center"/>
    </xf>
    <xf numFmtId="0" fontId="23" fillId="0" borderId="2" xfId="0" applyFont="1" applyFill="1" applyBorder="1" applyAlignment="1">
      <alignment horizontal="right"/>
    </xf>
    <xf numFmtId="169" fontId="23" fillId="8" borderId="1" xfId="0" applyNumberFormat="1" applyFont="1" applyFill="1" applyBorder="1"/>
    <xf numFmtId="0" fontId="23" fillId="0" borderId="0" xfId="0" applyFont="1" applyFill="1" applyBorder="1" applyAlignment="1">
      <alignment horizontal="right"/>
    </xf>
    <xf numFmtId="169" fontId="23" fillId="0" borderId="0" xfId="0" applyNumberFormat="1" applyFont="1" applyFill="1" applyBorder="1"/>
    <xf numFmtId="0" fontId="1" fillId="8" borderId="7" xfId="0" applyFont="1" applyFill="1" applyBorder="1" applyAlignment="1">
      <alignment horizontal="center"/>
    </xf>
    <xf numFmtId="10" fontId="22" fillId="0" borderId="30" xfId="0" applyNumberFormat="1" applyFont="1" applyBorder="1" applyAlignment="1">
      <alignment horizontal="center" vertical="center" wrapText="1"/>
    </xf>
    <xf numFmtId="10" fontId="23" fillId="0" borderId="20" xfId="0" applyNumberFormat="1" applyFont="1" applyBorder="1" applyAlignment="1">
      <alignment horizontal="left" wrapText="1"/>
    </xf>
    <xf numFmtId="10" fontId="22" fillId="0" borderId="26" xfId="0" applyNumberFormat="1" applyFont="1" applyBorder="1" applyAlignment="1">
      <alignment horizontal="center" vertical="center" wrapText="1"/>
    </xf>
    <xf numFmtId="168" fontId="20" fillId="11" borderId="7" xfId="0" applyNumberFormat="1" applyFont="1" applyFill="1" applyBorder="1" applyAlignment="1" applyProtection="1">
      <alignment horizontal="right"/>
      <protection locked="0"/>
    </xf>
    <xf numFmtId="0" fontId="1" fillId="8" borderId="39" xfId="0" applyFont="1" applyFill="1" applyBorder="1" applyAlignment="1">
      <alignment horizontal="center"/>
    </xf>
    <xf numFmtId="0" fontId="23" fillId="0" borderId="55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168" fontId="2" fillId="8" borderId="21" xfId="0" applyNumberFormat="1" applyFont="1" applyFill="1" applyBorder="1"/>
    <xf numFmtId="3" fontId="20" fillId="6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8" fontId="20" fillId="11" borderId="1" xfId="0" applyNumberFormat="1" applyFont="1" applyFill="1" applyBorder="1" applyAlignment="1" applyProtection="1">
      <alignment horizontal="center"/>
      <protection locked="0"/>
    </xf>
    <xf numFmtId="3" fontId="1" fillId="0" borderId="0" xfId="0" applyNumberFormat="1" applyFont="1" applyBorder="1" applyAlignment="1">
      <alignment horizontal="center"/>
    </xf>
    <xf numFmtId="166" fontId="6" fillId="0" borderId="0" xfId="3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8" borderId="35" xfId="0" applyFont="1" applyFill="1" applyBorder="1" applyAlignment="1">
      <alignment horizontal="left"/>
    </xf>
    <xf numFmtId="0" fontId="1" fillId="8" borderId="20" xfId="0" applyFont="1" applyFill="1" applyBorder="1" applyAlignment="1">
      <alignment horizontal="left"/>
    </xf>
    <xf numFmtId="10" fontId="23" fillId="0" borderId="45" xfId="0" applyNumberFormat="1" applyFont="1" applyBorder="1" applyAlignment="1">
      <alignment horizontal="left" vertical="center" wrapText="1"/>
    </xf>
    <xf numFmtId="0" fontId="1" fillId="8" borderId="44" xfId="0" applyFont="1" applyFill="1" applyBorder="1" applyAlignment="1">
      <alignment horizontal="left"/>
    </xf>
    <xf numFmtId="168" fontId="2" fillId="3" borderId="22" xfId="0" applyNumberFormat="1" applyFont="1" applyFill="1" applyBorder="1" applyAlignment="1">
      <alignment horizontal="right" vertical="center"/>
    </xf>
    <xf numFmtId="168" fontId="2" fillId="3" borderId="10" xfId="0" applyNumberFormat="1" applyFont="1" applyFill="1" applyBorder="1" applyAlignment="1">
      <alignment horizontal="right" vertical="center"/>
    </xf>
    <xf numFmtId="168" fontId="1" fillId="0" borderId="8" xfId="0" applyNumberFormat="1" applyFont="1" applyBorder="1" applyAlignment="1">
      <alignment horizontal="right" vertical="center"/>
    </xf>
    <xf numFmtId="168" fontId="1" fillId="0" borderId="51" xfId="0" applyNumberFormat="1" applyFont="1" applyBorder="1" applyAlignment="1">
      <alignment horizontal="right" vertical="center"/>
    </xf>
    <xf numFmtId="168" fontId="1" fillId="8" borderId="10" xfId="0" applyNumberFormat="1" applyFont="1" applyFill="1" applyBorder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/>
    </xf>
    <xf numFmtId="168" fontId="1" fillId="0" borderId="6" xfId="0" applyNumberFormat="1" applyFont="1" applyBorder="1" applyAlignment="1">
      <alignment horizontal="right" vertical="center"/>
    </xf>
    <xf numFmtId="168" fontId="2" fillId="14" borderId="10" xfId="0" applyNumberFormat="1" applyFont="1" applyFill="1" applyBorder="1" applyAlignment="1">
      <alignment horizontal="right" vertical="center"/>
    </xf>
    <xf numFmtId="168" fontId="18" fillId="4" borderId="8" xfId="0" applyNumberFormat="1" applyFont="1" applyFill="1" applyBorder="1" applyAlignment="1">
      <alignment horizontal="right" vertical="center"/>
    </xf>
    <xf numFmtId="168" fontId="2" fillId="14" borderId="11" xfId="0" applyNumberFormat="1" applyFont="1" applyFill="1" applyBorder="1" applyAlignment="1">
      <alignment horizontal="right" vertical="center"/>
    </xf>
    <xf numFmtId="168" fontId="1" fillId="0" borderId="10" xfId="0" applyNumberFormat="1" applyFont="1" applyBorder="1" applyAlignment="1">
      <alignment horizontal="right" vertical="center"/>
    </xf>
    <xf numFmtId="168" fontId="2" fillId="3" borderId="10" xfId="0" applyNumberFormat="1" applyFont="1" applyFill="1" applyBorder="1" applyAlignment="1">
      <alignment horizontal="right"/>
    </xf>
    <xf numFmtId="165" fontId="2" fillId="14" borderId="10" xfId="0" applyNumberFormat="1" applyFont="1" applyFill="1" applyBorder="1" applyAlignment="1">
      <alignment horizontal="right"/>
    </xf>
    <xf numFmtId="165" fontId="2" fillId="3" borderId="10" xfId="0" applyNumberFormat="1" applyFont="1" applyFill="1" applyBorder="1" applyAlignment="1">
      <alignment horizontal="right"/>
    </xf>
    <xf numFmtId="168" fontId="2" fillId="5" borderId="10" xfId="0" applyNumberFormat="1" applyFont="1" applyFill="1" applyBorder="1" applyAlignment="1">
      <alignment horizontal="right" vertical="center"/>
    </xf>
    <xf numFmtId="165" fontId="2" fillId="14" borderId="11" xfId="0" applyNumberFormat="1" applyFont="1" applyFill="1" applyBorder="1" applyAlignment="1">
      <alignment horizontal="right"/>
    </xf>
    <xf numFmtId="0" fontId="28" fillId="0" borderId="0" xfId="0" applyFont="1" applyFill="1"/>
    <xf numFmtId="0" fontId="29" fillId="0" borderId="0" xfId="0" applyFont="1"/>
    <xf numFmtId="168" fontId="20" fillId="11" borderId="1" xfId="0" applyNumberFormat="1" applyFont="1" applyFill="1" applyBorder="1" applyAlignment="1" applyProtection="1">
      <alignment horizontal="right" vertical="center"/>
      <protection locked="0"/>
    </xf>
    <xf numFmtId="168" fontId="4" fillId="0" borderId="35" xfId="0" applyNumberFormat="1" applyFont="1" applyBorder="1" applyAlignment="1">
      <alignment horizontal="right" vertical="top"/>
    </xf>
    <xf numFmtId="168" fontId="4" fillId="0" borderId="36" xfId="0" applyNumberFormat="1" applyFont="1" applyBorder="1" applyAlignment="1">
      <alignment horizontal="right" vertical="top"/>
    </xf>
    <xf numFmtId="168" fontId="4" fillId="0" borderId="37" xfId="0" applyNumberFormat="1" applyFont="1" applyBorder="1" applyAlignment="1">
      <alignment horizontal="right" vertical="top"/>
    </xf>
    <xf numFmtId="0" fontId="13" fillId="2" borderId="6" xfId="0" applyFont="1" applyFill="1" applyBorder="1" applyAlignment="1">
      <alignment horizontal="center" vertical="center"/>
    </xf>
    <xf numFmtId="0" fontId="31" fillId="0" borderId="29" xfId="0" applyFont="1" applyBorder="1" applyAlignment="1">
      <alignment vertical="center" wrapText="1"/>
    </xf>
    <xf numFmtId="0" fontId="32" fillId="0" borderId="0" xfId="0" applyFont="1"/>
    <xf numFmtId="0" fontId="32" fillId="0" borderId="0" xfId="0" applyFont="1" applyBorder="1" applyAlignment="1">
      <alignment horizontal="center"/>
    </xf>
    <xf numFmtId="168" fontId="32" fillId="0" borderId="0" xfId="0" applyNumberFormat="1" applyFont="1"/>
    <xf numFmtId="0" fontId="24" fillId="0" borderId="14" xfId="0" applyFont="1" applyBorder="1" applyAlignment="1">
      <alignment horizontal="center" vertical="center"/>
    </xf>
    <xf numFmtId="166" fontId="31" fillId="0" borderId="43" xfId="3" applyFont="1" applyBorder="1" applyAlignment="1">
      <alignment horizontal="center" vertical="center" wrapText="1"/>
    </xf>
    <xf numFmtId="166" fontId="31" fillId="0" borderId="15" xfId="3" applyFont="1" applyBorder="1" applyAlignment="1">
      <alignment horizontal="center" vertical="center" wrapText="1"/>
    </xf>
    <xf numFmtId="166" fontId="31" fillId="0" borderId="13" xfId="3" applyFont="1" applyBorder="1" applyAlignment="1">
      <alignment horizontal="center" vertical="center" wrapText="1"/>
    </xf>
    <xf numFmtId="166" fontId="31" fillId="0" borderId="14" xfId="3" applyFont="1" applyBorder="1" applyAlignment="1">
      <alignment horizontal="center" vertical="center" wrapText="1"/>
    </xf>
    <xf numFmtId="166" fontId="32" fillId="0" borderId="14" xfId="3" applyFont="1" applyBorder="1" applyAlignment="1">
      <alignment horizontal="center"/>
    </xf>
    <xf numFmtId="0" fontId="13" fillId="2" borderId="62" xfId="0" applyFont="1" applyFill="1" applyBorder="1" applyAlignment="1">
      <alignment horizontal="center" vertical="top"/>
    </xf>
    <xf numFmtId="0" fontId="13" fillId="2" borderId="51" xfId="0" applyFont="1" applyFill="1" applyBorder="1" applyAlignment="1">
      <alignment horizontal="center" vertical="top"/>
    </xf>
    <xf numFmtId="0" fontId="1" fillId="3" borderId="17" xfId="0" applyFont="1" applyFill="1" applyBorder="1"/>
    <xf numFmtId="165" fontId="5" fillId="4" borderId="1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166" fontId="31" fillId="0" borderId="29" xfId="3" applyFont="1" applyBorder="1" applyAlignment="1">
      <alignment horizontal="center" vertical="center" wrapText="1"/>
    </xf>
    <xf numFmtId="166" fontId="31" fillId="0" borderId="23" xfId="3" applyFont="1" applyBorder="1" applyAlignment="1">
      <alignment horizontal="center" vertical="center" wrapText="1"/>
    </xf>
    <xf numFmtId="166" fontId="31" fillId="0" borderId="16" xfId="3" applyFont="1" applyBorder="1" applyAlignment="1">
      <alignment horizontal="center" vertical="center" wrapText="1"/>
    </xf>
    <xf numFmtId="168" fontId="20" fillId="11" borderId="18" xfId="0" applyNumberFormat="1" applyFont="1" applyFill="1" applyBorder="1" applyAlignment="1" applyProtection="1">
      <alignment horizontal="right"/>
      <protection locked="0"/>
    </xf>
    <xf numFmtId="168" fontId="1" fillId="0" borderId="19" xfId="0" applyNumberFormat="1" applyFont="1" applyBorder="1" applyAlignment="1">
      <alignment horizontal="right" vertical="center"/>
    </xf>
    <xf numFmtId="168" fontId="1" fillId="0" borderId="42" xfId="0" applyNumberFormat="1" applyFont="1" applyBorder="1" applyAlignment="1">
      <alignment horizontal="right" vertical="center"/>
    </xf>
    <xf numFmtId="168" fontId="1" fillId="0" borderId="18" xfId="0" applyNumberFormat="1" applyFont="1" applyBorder="1" applyAlignment="1">
      <alignment horizontal="right" vertical="center"/>
    </xf>
    <xf numFmtId="168" fontId="20" fillId="11" borderId="19" xfId="0" applyNumberFormat="1" applyFont="1" applyFill="1" applyBorder="1" applyAlignment="1" applyProtection="1">
      <alignment horizontal="right" vertical="center"/>
      <protection locked="0"/>
    </xf>
    <xf numFmtId="168" fontId="20" fillId="11" borderId="18" xfId="0" applyNumberFormat="1" applyFont="1" applyFill="1" applyBorder="1" applyAlignment="1" applyProtection="1">
      <alignment horizontal="right" vertical="center"/>
      <protection locked="0"/>
    </xf>
    <xf numFmtId="168" fontId="20" fillId="11" borderId="42" xfId="0" applyNumberFormat="1" applyFont="1" applyFill="1" applyBorder="1" applyAlignment="1" applyProtection="1">
      <alignment horizontal="right"/>
      <protection locked="0"/>
    </xf>
    <xf numFmtId="165" fontId="5" fillId="4" borderId="19" xfId="0" applyNumberFormat="1" applyFont="1" applyFill="1" applyBorder="1" applyAlignment="1">
      <alignment horizontal="right" vertical="center"/>
    </xf>
    <xf numFmtId="165" fontId="5" fillId="4" borderId="18" xfId="0" applyNumberFormat="1" applyFont="1" applyFill="1" applyBorder="1" applyAlignment="1">
      <alignment horizontal="right" vertical="center"/>
    </xf>
    <xf numFmtId="0" fontId="1" fillId="0" borderId="40" xfId="0" applyFont="1" applyFill="1" applyBorder="1" applyAlignment="1">
      <alignment horizontal="left" vertical="center" indent="2"/>
    </xf>
    <xf numFmtId="168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5" fontId="4" fillId="15" borderId="1" xfId="0" applyNumberFormat="1" applyFont="1" applyFill="1" applyBorder="1" applyAlignment="1">
      <alignment horizontal="right" vertical="center"/>
    </xf>
    <xf numFmtId="165" fontId="4" fillId="0" borderId="36" xfId="0" applyNumberFormat="1" applyFont="1" applyBorder="1" applyAlignment="1">
      <alignment horizontal="right" vertical="center"/>
    </xf>
    <xf numFmtId="165" fontId="4" fillId="0" borderId="39" xfId="0" applyNumberFormat="1" applyFont="1" applyBorder="1" applyAlignment="1">
      <alignment horizontal="right" vertical="center"/>
    </xf>
    <xf numFmtId="165" fontId="13" fillId="0" borderId="22" xfId="0" applyNumberFormat="1" applyFont="1" applyBorder="1" applyAlignment="1">
      <alignment horizontal="right" vertical="center"/>
    </xf>
    <xf numFmtId="165" fontId="4" fillId="0" borderId="33" xfId="0" applyNumberFormat="1" applyFont="1" applyBorder="1" applyAlignment="1">
      <alignment horizontal="right" vertical="center"/>
    </xf>
    <xf numFmtId="165" fontId="13" fillId="0" borderId="10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31" fillId="0" borderId="0" xfId="0" applyFont="1" applyFill="1" applyBorder="1" applyAlignment="1"/>
    <xf numFmtId="0" fontId="32" fillId="0" borderId="0" xfId="0" applyFont="1" applyAlignment="1">
      <alignment horizontal="center"/>
    </xf>
    <xf numFmtId="168" fontId="32" fillId="0" borderId="0" xfId="3" applyNumberFormat="1" applyFont="1" applyAlignment="1">
      <alignment horizontal="right" vertical="center"/>
    </xf>
    <xf numFmtId="0" fontId="32" fillId="0" borderId="0" xfId="0" applyFont="1" applyAlignment="1"/>
    <xf numFmtId="0" fontId="32" fillId="0" borderId="0" xfId="0" applyFont="1" applyFill="1" applyBorder="1"/>
    <xf numFmtId="0" fontId="32" fillId="0" borderId="0" xfId="0" applyFont="1" applyFill="1"/>
    <xf numFmtId="168" fontId="24" fillId="0" borderId="0" xfId="3" applyNumberFormat="1" applyFont="1" applyAlignment="1">
      <alignment horizontal="right" vertical="center"/>
    </xf>
    <xf numFmtId="0" fontId="33" fillId="0" borderId="0" xfId="0" applyNumberFormat="1" applyFont="1" applyBorder="1" applyAlignment="1">
      <alignment horizontal="center" vertical="center" wrapText="1"/>
    </xf>
    <xf numFmtId="168" fontId="31" fillId="0" borderId="0" xfId="3" applyNumberFormat="1" applyFont="1" applyAlignment="1">
      <alignment horizontal="right" vertical="center"/>
    </xf>
    <xf numFmtId="0" fontId="1" fillId="3" borderId="38" xfId="0" applyFont="1" applyFill="1" applyBorder="1" applyAlignment="1">
      <alignment horizontal="left" vertical="center" indent="1"/>
    </xf>
    <xf numFmtId="0" fontId="1" fillId="3" borderId="40" xfId="0" applyFont="1" applyFill="1" applyBorder="1" applyAlignment="1">
      <alignment horizontal="left" vertical="center" indent="1"/>
    </xf>
    <xf numFmtId="0" fontId="1" fillId="14" borderId="40" xfId="0" applyFont="1" applyFill="1" applyBorder="1" applyAlignment="1">
      <alignment horizontal="left" vertical="center"/>
    </xf>
    <xf numFmtId="16" fontId="1" fillId="3" borderId="40" xfId="0" applyNumberFormat="1" applyFont="1" applyFill="1" applyBorder="1" applyAlignment="1">
      <alignment horizontal="left" vertical="center" indent="1"/>
    </xf>
    <xf numFmtId="0" fontId="1" fillId="14" borderId="28" xfId="0" applyFont="1" applyFill="1" applyBorder="1" applyAlignment="1">
      <alignment horizontal="left" vertical="center"/>
    </xf>
    <xf numFmtId="168" fontId="1" fillId="3" borderId="33" xfId="0" applyNumberFormat="1" applyFont="1" applyFill="1" applyBorder="1" applyAlignment="1">
      <alignment horizontal="right" vertical="center"/>
    </xf>
    <xf numFmtId="168" fontId="1" fillId="3" borderId="36" xfId="0" applyNumberFormat="1" applyFont="1" applyFill="1" applyBorder="1" applyAlignment="1">
      <alignment horizontal="right" vertical="center"/>
    </xf>
    <xf numFmtId="168" fontId="1" fillId="3" borderId="39" xfId="0" applyNumberFormat="1" applyFont="1" applyFill="1" applyBorder="1" applyAlignment="1">
      <alignment horizontal="right" vertical="center"/>
    </xf>
    <xf numFmtId="168" fontId="1" fillId="3" borderId="8" xfId="0" applyNumberFormat="1" applyFont="1" applyFill="1" applyBorder="1" applyAlignment="1">
      <alignment horizontal="right" vertical="center"/>
    </xf>
    <xf numFmtId="168" fontId="1" fillId="3" borderId="51" xfId="0" applyNumberFormat="1" applyFont="1" applyFill="1" applyBorder="1" applyAlignment="1">
      <alignment horizontal="right" vertical="center"/>
    </xf>
    <xf numFmtId="168" fontId="1" fillId="3" borderId="1" xfId="0" applyNumberFormat="1" applyFont="1" applyFill="1" applyBorder="1" applyAlignment="1">
      <alignment horizontal="right" vertical="center"/>
    </xf>
    <xf numFmtId="168" fontId="1" fillId="3" borderId="6" xfId="0" applyNumberFormat="1" applyFont="1" applyFill="1" applyBorder="1" applyAlignment="1">
      <alignment horizontal="right" vertical="center"/>
    </xf>
    <xf numFmtId="165" fontId="1" fillId="14" borderId="8" xfId="0" applyNumberFormat="1" applyFont="1" applyFill="1" applyBorder="1" applyAlignment="1">
      <alignment horizontal="right" vertical="center"/>
    </xf>
    <xf numFmtId="165" fontId="1" fillId="14" borderId="1" xfId="0" applyNumberFormat="1" applyFont="1" applyFill="1" applyBorder="1" applyAlignment="1">
      <alignment horizontal="right" vertical="center"/>
    </xf>
    <xf numFmtId="165" fontId="1" fillId="14" borderId="6" xfId="0" applyNumberFormat="1" applyFont="1" applyFill="1" applyBorder="1" applyAlignment="1">
      <alignment horizontal="right" vertical="center"/>
    </xf>
    <xf numFmtId="165" fontId="1" fillId="3" borderId="8" xfId="0" applyNumberFormat="1" applyFont="1" applyFill="1" applyBorder="1" applyAlignment="1">
      <alignment horizontal="right" vertical="center"/>
    </xf>
    <xf numFmtId="165" fontId="1" fillId="3" borderId="51" xfId="0" applyNumberFormat="1" applyFont="1" applyFill="1" applyBorder="1" applyAlignment="1">
      <alignment horizontal="right" vertical="center"/>
    </xf>
    <xf numFmtId="168" fontId="5" fillId="4" borderId="8" xfId="0" applyNumberFormat="1" applyFont="1" applyFill="1" applyBorder="1" applyAlignment="1">
      <alignment horizontal="right" vertical="center"/>
    </xf>
    <xf numFmtId="168" fontId="5" fillId="4" borderId="51" xfId="0" applyNumberFormat="1" applyFont="1" applyFill="1" applyBorder="1" applyAlignment="1">
      <alignment horizontal="right" vertical="center"/>
    </xf>
    <xf numFmtId="168" fontId="1" fillId="5" borderId="8" xfId="0" applyNumberFormat="1" applyFont="1" applyFill="1" applyBorder="1" applyAlignment="1">
      <alignment horizontal="right" vertical="center"/>
    </xf>
    <xf numFmtId="168" fontId="1" fillId="5" borderId="1" xfId="0" applyNumberFormat="1" applyFont="1" applyFill="1" applyBorder="1" applyAlignment="1">
      <alignment horizontal="right" vertical="center"/>
    </xf>
    <xf numFmtId="168" fontId="1" fillId="5" borderId="6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6" xfId="0" applyNumberFormat="1" applyFont="1" applyFill="1" applyBorder="1" applyAlignment="1">
      <alignment horizontal="right" vertical="center"/>
    </xf>
    <xf numFmtId="165" fontId="1" fillId="14" borderId="51" xfId="0" applyNumberFormat="1" applyFont="1" applyFill="1" applyBorder="1" applyAlignment="1">
      <alignment horizontal="right" vertical="center"/>
    </xf>
    <xf numFmtId="165" fontId="1" fillId="14" borderId="9" xfId="0" applyNumberFormat="1" applyFont="1" applyFill="1" applyBorder="1" applyAlignment="1">
      <alignment horizontal="right" vertical="center"/>
    </xf>
    <xf numFmtId="165" fontId="1" fillId="14" borderId="5" xfId="0" applyNumberFormat="1" applyFont="1" applyFill="1" applyBorder="1" applyAlignment="1">
      <alignment horizontal="right" vertical="center"/>
    </xf>
    <xf numFmtId="165" fontId="1" fillId="14" borderId="7" xfId="0" applyNumberFormat="1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center" vertical="center"/>
    </xf>
    <xf numFmtId="168" fontId="1" fillId="3" borderId="35" xfId="0" applyNumberFormat="1" applyFont="1" applyFill="1" applyBorder="1" applyAlignment="1">
      <alignment horizontal="right" vertical="center"/>
    </xf>
    <xf numFmtId="168" fontId="1" fillId="3" borderId="37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center" vertical="center"/>
    </xf>
    <xf numFmtId="168" fontId="1" fillId="3" borderId="19" xfId="0" applyNumberFormat="1" applyFont="1" applyFill="1" applyBorder="1" applyAlignment="1">
      <alignment horizontal="right" vertical="center"/>
    </xf>
    <xf numFmtId="168" fontId="1" fillId="3" borderId="42" xfId="0" applyNumberFormat="1" applyFont="1" applyFill="1" applyBorder="1" applyAlignment="1">
      <alignment horizontal="right" vertical="center"/>
    </xf>
    <xf numFmtId="168" fontId="1" fillId="3" borderId="19" xfId="0" applyNumberFormat="1" applyFont="1" applyFill="1" applyBorder="1" applyAlignment="1">
      <alignment horizontal="right"/>
    </xf>
    <xf numFmtId="168" fontId="1" fillId="3" borderId="1" xfId="0" applyNumberFormat="1" applyFont="1" applyFill="1" applyBorder="1" applyAlignment="1">
      <alignment horizontal="right"/>
    </xf>
    <xf numFmtId="168" fontId="1" fillId="3" borderId="18" xfId="0" applyNumberFormat="1" applyFont="1" applyFill="1" applyBorder="1" applyAlignment="1">
      <alignment horizontal="right"/>
    </xf>
    <xf numFmtId="165" fontId="1" fillId="14" borderId="18" xfId="0" applyNumberFormat="1" applyFont="1" applyFill="1" applyBorder="1" applyAlignment="1">
      <alignment horizontal="center" vertical="center"/>
    </xf>
    <xf numFmtId="165" fontId="1" fillId="14" borderId="19" xfId="0" applyNumberFormat="1" applyFont="1" applyFill="1" applyBorder="1" applyAlignment="1">
      <alignment horizontal="right"/>
    </xf>
    <xf numFmtId="165" fontId="1" fillId="14" borderId="1" xfId="0" applyNumberFormat="1" applyFont="1" applyFill="1" applyBorder="1" applyAlignment="1">
      <alignment horizontal="right"/>
    </xf>
    <xf numFmtId="165" fontId="1" fillId="14" borderId="18" xfId="0" applyNumberFormat="1" applyFont="1" applyFill="1" applyBorder="1" applyAlignment="1">
      <alignment horizontal="right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9" xfId="0" applyNumberFormat="1" applyFont="1" applyFill="1" applyBorder="1" applyAlignment="1">
      <alignment horizontal="right"/>
    </xf>
    <xf numFmtId="165" fontId="1" fillId="3" borderId="8" xfId="0" applyNumberFormat="1" applyFont="1" applyFill="1" applyBorder="1" applyAlignment="1">
      <alignment horizontal="right"/>
    </xf>
    <xf numFmtId="165" fontId="1" fillId="3" borderId="42" xfId="0" applyNumberFormat="1" applyFont="1" applyFill="1" applyBorder="1" applyAlignment="1">
      <alignment horizontal="right"/>
    </xf>
    <xf numFmtId="0" fontId="1" fillId="5" borderId="18" xfId="0" applyFont="1" applyFill="1" applyBorder="1" applyAlignment="1">
      <alignment horizontal="center" vertical="center"/>
    </xf>
    <xf numFmtId="168" fontId="1" fillId="5" borderId="19" xfId="0" applyNumberFormat="1" applyFont="1" applyFill="1" applyBorder="1" applyAlignment="1">
      <alignment horizontal="right" vertical="center"/>
    </xf>
    <xf numFmtId="168" fontId="1" fillId="5" borderId="18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right"/>
    </xf>
    <xf numFmtId="165" fontId="1" fillId="3" borderId="18" xfId="0" applyNumberFormat="1" applyFont="1" applyFill="1" applyBorder="1" applyAlignment="1">
      <alignment horizontal="right"/>
    </xf>
    <xf numFmtId="165" fontId="1" fillId="14" borderId="8" xfId="0" applyNumberFormat="1" applyFont="1" applyFill="1" applyBorder="1" applyAlignment="1">
      <alignment horizontal="right"/>
    </xf>
    <xf numFmtId="165" fontId="1" fillId="14" borderId="42" xfId="0" applyNumberFormat="1" applyFont="1" applyFill="1" applyBorder="1" applyAlignment="1">
      <alignment horizontal="right"/>
    </xf>
    <xf numFmtId="165" fontId="1" fillId="14" borderId="12" xfId="0" applyNumberFormat="1" applyFont="1" applyFill="1" applyBorder="1" applyAlignment="1">
      <alignment horizontal="center" vertical="center"/>
    </xf>
    <xf numFmtId="165" fontId="1" fillId="14" borderId="20" xfId="0" applyNumberFormat="1" applyFont="1" applyFill="1" applyBorder="1" applyAlignment="1">
      <alignment horizontal="right"/>
    </xf>
    <xf numFmtId="165" fontId="1" fillId="14" borderId="5" xfId="0" applyNumberFormat="1" applyFont="1" applyFill="1" applyBorder="1" applyAlignment="1">
      <alignment horizontal="right"/>
    </xf>
    <xf numFmtId="165" fontId="1" fillId="14" borderId="12" xfId="0" applyNumberFormat="1" applyFont="1" applyFill="1" applyBorder="1" applyAlignment="1">
      <alignment horizontal="right"/>
    </xf>
    <xf numFmtId="0" fontId="1" fillId="2" borderId="37" xfId="0" applyFont="1" applyFill="1" applyBorder="1" applyAlignment="1">
      <alignment horizontal="center" vertical="center"/>
    </xf>
    <xf numFmtId="168" fontId="27" fillId="0" borderId="0" xfId="0" applyNumberFormat="1" applyFont="1" applyAlignment="1">
      <alignment horizontal="center"/>
    </xf>
    <xf numFmtId="0" fontId="1" fillId="8" borderId="48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left" indent="2"/>
    </xf>
    <xf numFmtId="0" fontId="4" fillId="0" borderId="6" xfId="0" applyFont="1" applyBorder="1" applyAlignment="1">
      <alignment horizontal="center"/>
    </xf>
    <xf numFmtId="168" fontId="4" fillId="0" borderId="56" xfId="0" applyNumberFormat="1" applyFont="1" applyBorder="1" applyAlignment="1">
      <alignment horizontal="right" vertical="top"/>
    </xf>
    <xf numFmtId="168" fontId="4" fillId="0" borderId="52" xfId="0" applyNumberFormat="1" applyFont="1" applyBorder="1" applyAlignment="1">
      <alignment horizontal="right" vertical="top"/>
    </xf>
    <xf numFmtId="168" fontId="4" fillId="0" borderId="57" xfId="0" applyNumberFormat="1" applyFont="1" applyBorder="1" applyAlignment="1">
      <alignment horizontal="right" vertical="top"/>
    </xf>
    <xf numFmtId="0" fontId="24" fillId="0" borderId="0" xfId="0" applyFont="1" applyBorder="1" applyAlignment="1">
      <alignment horizontal="left" vertical="center"/>
    </xf>
    <xf numFmtId="168" fontId="1" fillId="8" borderId="34" xfId="0" applyNumberFormat="1" applyFont="1" applyFill="1" applyBorder="1" applyAlignment="1">
      <alignment horizontal="right"/>
    </xf>
    <xf numFmtId="168" fontId="1" fillId="8" borderId="45" xfId="0" applyNumberFormat="1" applyFont="1" applyFill="1" applyBorder="1" applyAlignment="1">
      <alignment horizontal="right"/>
    </xf>
    <xf numFmtId="168" fontId="1" fillId="8" borderId="46" xfId="0" applyNumberFormat="1" applyFont="1" applyFill="1" applyBorder="1" applyAlignment="1">
      <alignment horizontal="right"/>
    </xf>
    <xf numFmtId="168" fontId="23" fillId="0" borderId="45" xfId="0" applyNumberFormat="1" applyFont="1" applyFill="1" applyBorder="1" applyAlignment="1">
      <alignment horizontal="right" vertical="center"/>
    </xf>
    <xf numFmtId="168" fontId="23" fillId="0" borderId="54" xfId="0" applyNumberFormat="1" applyFont="1" applyFill="1" applyBorder="1" applyAlignment="1">
      <alignment horizontal="right" vertical="center"/>
    </xf>
    <xf numFmtId="168" fontId="23" fillId="0" borderId="48" xfId="0" applyNumberFormat="1" applyFont="1" applyFill="1" applyBorder="1" applyAlignment="1">
      <alignment horizontal="right" vertical="center"/>
    </xf>
    <xf numFmtId="0" fontId="34" fillId="0" borderId="0" xfId="0" applyFont="1"/>
    <xf numFmtId="170" fontId="31" fillId="0" borderId="17" xfId="3" applyNumberFormat="1" applyFont="1" applyBorder="1" applyAlignment="1">
      <alignment horizontal="right" vertical="center"/>
    </xf>
    <xf numFmtId="170" fontId="24" fillId="0" borderId="15" xfId="3" applyNumberFormat="1" applyFont="1" applyBorder="1" applyAlignment="1">
      <alignment horizontal="right" vertical="center"/>
    </xf>
    <xf numFmtId="170" fontId="24" fillId="0" borderId="13" xfId="3" applyNumberFormat="1" applyFont="1" applyBorder="1" applyAlignment="1">
      <alignment horizontal="right" vertical="center"/>
    </xf>
    <xf numFmtId="170" fontId="24" fillId="0" borderId="16" xfId="3" applyNumberFormat="1" applyFont="1" applyBorder="1" applyAlignment="1">
      <alignment horizontal="right" vertical="center"/>
    </xf>
    <xf numFmtId="170" fontId="31" fillId="0" borderId="43" xfId="3" applyNumberFormat="1" applyFont="1" applyBorder="1" applyAlignment="1">
      <alignment horizontal="right" vertical="center"/>
    </xf>
    <xf numFmtId="170" fontId="24" fillId="0" borderId="14" xfId="3" applyNumberFormat="1" applyFont="1" applyBorder="1" applyAlignment="1">
      <alignment horizontal="right" vertical="center"/>
    </xf>
    <xf numFmtId="165" fontId="20" fillId="6" borderId="15" xfId="0" applyNumberFormat="1" applyFont="1" applyFill="1" applyBorder="1" applyProtection="1">
      <protection locked="0"/>
    </xf>
    <xf numFmtId="165" fontId="20" fillId="6" borderId="13" xfId="0" applyNumberFormat="1" applyFont="1" applyFill="1" applyBorder="1" applyProtection="1">
      <protection locked="0"/>
    </xf>
    <xf numFmtId="165" fontId="20" fillId="6" borderId="16" xfId="0" applyNumberFormat="1" applyFont="1" applyFill="1" applyBorder="1" applyProtection="1">
      <protection locked="0"/>
    </xf>
    <xf numFmtId="165" fontId="20" fillId="6" borderId="23" xfId="0" applyNumberFormat="1" applyFont="1" applyFill="1" applyBorder="1" applyProtection="1">
      <protection locked="0"/>
    </xf>
    <xf numFmtId="165" fontId="20" fillId="6" borderId="14" xfId="0" applyNumberFormat="1" applyFont="1" applyFill="1" applyBorder="1" applyProtection="1">
      <protection locked="0"/>
    </xf>
    <xf numFmtId="168" fontId="20" fillId="11" borderId="33" xfId="0" applyNumberFormat="1" applyFont="1" applyFill="1" applyBorder="1" applyAlignment="1" applyProtection="1">
      <alignment horizontal="right"/>
      <protection locked="0" hidden="1"/>
    </xf>
    <xf numFmtId="168" fontId="20" fillId="11" borderId="36" xfId="0" applyNumberFormat="1" applyFont="1" applyFill="1" applyBorder="1" applyAlignment="1" applyProtection="1">
      <alignment horizontal="right"/>
      <protection locked="0" hidden="1"/>
    </xf>
    <xf numFmtId="168" fontId="20" fillId="11" borderId="37" xfId="0" applyNumberFormat="1" applyFont="1" applyFill="1" applyBorder="1" applyAlignment="1" applyProtection="1">
      <alignment horizontal="right"/>
      <protection locked="0" hidden="1"/>
    </xf>
    <xf numFmtId="168" fontId="20" fillId="11" borderId="9" xfId="0" applyNumberFormat="1" applyFont="1" applyFill="1" applyBorder="1" applyAlignment="1" applyProtection="1">
      <alignment horizontal="right"/>
      <protection locked="0" hidden="1"/>
    </xf>
    <xf numFmtId="168" fontId="20" fillId="11" borderId="5" xfId="0" applyNumberFormat="1" applyFont="1" applyFill="1" applyBorder="1" applyAlignment="1" applyProtection="1">
      <alignment horizontal="right"/>
      <protection locked="0" hidden="1"/>
    </xf>
    <xf numFmtId="168" fontId="20" fillId="11" borderId="12" xfId="0" applyNumberFormat="1" applyFont="1" applyFill="1" applyBorder="1" applyAlignment="1" applyProtection="1">
      <alignment horizontal="right"/>
      <protection locked="0" hidden="1"/>
    </xf>
    <xf numFmtId="168" fontId="20" fillId="6" borderId="19" xfId="0" applyNumberFormat="1" applyFont="1" applyFill="1" applyBorder="1" applyAlignment="1" applyProtection="1">
      <alignment horizontal="right" vertical="center"/>
      <protection locked="0"/>
    </xf>
    <xf numFmtId="168" fontId="20" fillId="6" borderId="1" xfId="0" applyNumberFormat="1" applyFont="1" applyFill="1" applyBorder="1" applyAlignment="1" applyProtection="1">
      <alignment horizontal="right" vertical="center"/>
      <protection locked="0"/>
    </xf>
    <xf numFmtId="168" fontId="20" fillId="6" borderId="18" xfId="0" applyNumberFormat="1" applyFont="1" applyFill="1" applyBorder="1" applyAlignment="1" applyProtection="1">
      <alignment horizontal="right" vertical="center"/>
      <protection locked="0"/>
    </xf>
    <xf numFmtId="168" fontId="1" fillId="4" borderId="19" xfId="0" applyNumberFormat="1" applyFont="1" applyFill="1" applyBorder="1" applyAlignment="1">
      <alignment horizontal="right" vertical="center"/>
    </xf>
    <xf numFmtId="168" fontId="1" fillId="4" borderId="1" xfId="0" applyNumberFormat="1" applyFont="1" applyFill="1" applyBorder="1" applyAlignment="1">
      <alignment horizontal="right" vertical="center"/>
    </xf>
    <xf numFmtId="168" fontId="1" fillId="4" borderId="18" xfId="0" applyNumberFormat="1" applyFont="1" applyFill="1" applyBorder="1" applyAlignment="1">
      <alignment horizontal="right" vertical="center"/>
    </xf>
    <xf numFmtId="168" fontId="1" fillId="13" borderId="10" xfId="0" applyNumberFormat="1" applyFont="1" applyFill="1" applyBorder="1" applyAlignment="1">
      <alignment horizontal="right" vertical="center"/>
    </xf>
    <xf numFmtId="0" fontId="13" fillId="2" borderId="49" xfId="0" applyFont="1" applyFill="1" applyBorder="1" applyAlignment="1">
      <alignment horizontal="left" vertical="top"/>
    </xf>
    <xf numFmtId="168" fontId="13" fillId="3" borderId="62" xfId="0" applyNumberFormat="1" applyFont="1" applyFill="1" applyBorder="1" applyAlignment="1">
      <alignment horizontal="right" vertical="top"/>
    </xf>
    <xf numFmtId="168" fontId="13" fillId="3" borderId="63" xfId="0" applyNumberFormat="1" applyFont="1" applyFill="1" applyBorder="1" applyAlignment="1">
      <alignment horizontal="right" vertical="top"/>
    </xf>
    <xf numFmtId="0" fontId="4" fillId="0" borderId="40" xfId="0" applyFont="1" applyBorder="1" applyAlignment="1">
      <alignment horizontal="left" indent="1"/>
    </xf>
    <xf numFmtId="0" fontId="13" fillId="3" borderId="40" xfId="0" applyFont="1" applyFill="1" applyBorder="1" applyAlignment="1">
      <alignment horizontal="left" vertical="top" wrapText="1"/>
    </xf>
    <xf numFmtId="165" fontId="13" fillId="2" borderId="56" xfId="0" applyNumberFormat="1" applyFont="1" applyFill="1" applyBorder="1" applyAlignment="1">
      <alignment horizontal="right" vertical="top"/>
    </xf>
    <xf numFmtId="165" fontId="13" fillId="2" borderId="52" xfId="0" applyNumberFormat="1" applyFont="1" applyFill="1" applyBorder="1" applyAlignment="1">
      <alignment horizontal="right" vertical="top"/>
    </xf>
    <xf numFmtId="165" fontId="13" fillId="2" borderId="57" xfId="0" applyNumberFormat="1" applyFont="1" applyFill="1" applyBorder="1" applyAlignment="1">
      <alignment horizontal="right" vertical="top"/>
    </xf>
    <xf numFmtId="165" fontId="13" fillId="2" borderId="59" xfId="0" applyNumberFormat="1" applyFont="1" applyFill="1" applyBorder="1" applyAlignment="1">
      <alignment horizontal="right" vertical="top"/>
    </xf>
    <xf numFmtId="165" fontId="13" fillId="2" borderId="58" xfId="0" applyNumberFormat="1" applyFont="1" applyFill="1" applyBorder="1" applyAlignment="1">
      <alignment horizontal="right" vertical="top"/>
    </xf>
    <xf numFmtId="165" fontId="13" fillId="2" borderId="60" xfId="0" applyNumberFormat="1" applyFont="1" applyFill="1" applyBorder="1" applyAlignment="1">
      <alignment horizontal="right" vertical="top"/>
    </xf>
    <xf numFmtId="165" fontId="13" fillId="2" borderId="61" xfId="0" applyNumberFormat="1" applyFont="1" applyFill="1" applyBorder="1" applyAlignment="1">
      <alignment horizontal="right" vertical="top"/>
    </xf>
    <xf numFmtId="0" fontId="13" fillId="2" borderId="40" xfId="0" applyFont="1" applyFill="1" applyBorder="1" applyAlignment="1">
      <alignment horizontal="left" vertical="top"/>
    </xf>
    <xf numFmtId="165" fontId="13" fillId="2" borderId="51" xfId="0" applyNumberFormat="1" applyFont="1" applyFill="1" applyBorder="1" applyAlignment="1">
      <alignment horizontal="right" vertical="top"/>
    </xf>
    <xf numFmtId="165" fontId="13" fillId="2" borderId="42" xfId="0" applyNumberFormat="1" applyFont="1" applyFill="1" applyBorder="1" applyAlignment="1">
      <alignment horizontal="right" vertical="top"/>
    </xf>
    <xf numFmtId="0" fontId="4" fillId="0" borderId="4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168" fontId="4" fillId="0" borderId="35" xfId="0" applyNumberFormat="1" applyFont="1" applyBorder="1" applyAlignment="1">
      <alignment horizontal="right" vertical="center"/>
    </xf>
    <xf numFmtId="168" fontId="4" fillId="0" borderId="36" xfId="0" applyNumberFormat="1" applyFont="1" applyBorder="1" applyAlignment="1">
      <alignment horizontal="right" vertical="center"/>
    </xf>
    <xf numFmtId="168" fontId="4" fillId="0" borderId="37" xfId="0" applyNumberFormat="1" applyFont="1" applyBorder="1" applyAlignment="1">
      <alignment horizontal="right" vertical="center"/>
    </xf>
    <xf numFmtId="168" fontId="4" fillId="0" borderId="19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 vertical="center"/>
    </xf>
    <xf numFmtId="168" fontId="4" fillId="0" borderId="18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indent="1"/>
    </xf>
    <xf numFmtId="0" fontId="4" fillId="0" borderId="7" xfId="0" applyFont="1" applyBorder="1" applyAlignment="1">
      <alignment horizontal="center"/>
    </xf>
    <xf numFmtId="168" fontId="4" fillId="0" borderId="20" xfId="0" applyNumberFormat="1" applyFont="1" applyBorder="1" applyAlignment="1">
      <alignment horizontal="right" vertical="top"/>
    </xf>
    <xf numFmtId="168" fontId="4" fillId="0" borderId="5" xfId="0" applyNumberFormat="1" applyFont="1" applyBorder="1" applyAlignment="1">
      <alignment horizontal="right" vertical="top"/>
    </xf>
    <xf numFmtId="168" fontId="4" fillId="0" borderId="12" xfId="0" applyNumberFormat="1" applyFont="1" applyBorder="1" applyAlignment="1">
      <alignment horizontal="right" vertical="top"/>
    </xf>
    <xf numFmtId="0" fontId="4" fillId="8" borderId="38" xfId="0" applyFont="1" applyFill="1" applyBorder="1" applyAlignment="1">
      <alignment horizontal="left"/>
    </xf>
    <xf numFmtId="0" fontId="4" fillId="8" borderId="37" xfId="0" applyFont="1" applyFill="1" applyBorder="1" applyAlignment="1">
      <alignment horizontal="center"/>
    </xf>
    <xf numFmtId="168" fontId="4" fillId="11" borderId="35" xfId="0" applyNumberFormat="1" applyFont="1" applyFill="1" applyBorder="1" applyAlignment="1" applyProtection="1">
      <alignment horizontal="right"/>
      <protection locked="0"/>
    </xf>
    <xf numFmtId="165" fontId="4" fillId="0" borderId="36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8" fontId="4" fillId="7" borderId="33" xfId="0" applyNumberFormat="1" applyFont="1" applyFill="1" applyBorder="1" applyAlignment="1">
      <alignment horizontal="right"/>
    </xf>
    <xf numFmtId="168" fontId="4" fillId="7" borderId="36" xfId="0" applyNumberFormat="1" applyFont="1" applyFill="1" applyBorder="1" applyAlignment="1">
      <alignment horizontal="right"/>
    </xf>
    <xf numFmtId="168" fontId="4" fillId="7" borderId="39" xfId="0" applyNumberFormat="1" applyFont="1" applyFill="1" applyBorder="1" applyAlignment="1">
      <alignment horizontal="right"/>
    </xf>
    <xf numFmtId="168" fontId="4" fillId="7" borderId="35" xfId="0" applyNumberFormat="1" applyFont="1" applyFill="1" applyBorder="1" applyAlignment="1">
      <alignment horizontal="right"/>
    </xf>
    <xf numFmtId="168" fontId="4" fillId="7" borderId="37" xfId="0" applyNumberFormat="1" applyFont="1" applyFill="1" applyBorder="1" applyAlignment="1">
      <alignment horizontal="right"/>
    </xf>
    <xf numFmtId="0" fontId="4" fillId="8" borderId="40" xfId="0" applyFont="1" applyFill="1" applyBorder="1" applyAlignment="1">
      <alignment horizontal="left"/>
    </xf>
    <xf numFmtId="0" fontId="4" fillId="8" borderId="18" xfId="0" applyFont="1" applyFill="1" applyBorder="1" applyAlignment="1">
      <alignment horizontal="center"/>
    </xf>
    <xf numFmtId="168" fontId="4" fillId="11" borderId="19" xfId="0" applyNumberFormat="1" applyFont="1" applyFill="1" applyBorder="1" applyAlignment="1" applyProtection="1">
      <alignment horizontal="right"/>
      <protection locked="0"/>
    </xf>
    <xf numFmtId="168" fontId="4" fillId="11" borderId="1" xfId="0" applyNumberFormat="1" applyFont="1" applyFill="1" applyBorder="1" applyAlignment="1" applyProtection="1">
      <alignment horizontal="right"/>
      <protection locked="0"/>
    </xf>
    <xf numFmtId="168" fontId="4" fillId="11" borderId="6" xfId="0" applyNumberFormat="1" applyFont="1" applyFill="1" applyBorder="1" applyAlignment="1" applyProtection="1">
      <alignment horizontal="right"/>
      <protection locked="0"/>
    </xf>
    <xf numFmtId="168" fontId="4" fillId="11" borderId="18" xfId="0" applyNumberFormat="1" applyFont="1" applyFill="1" applyBorder="1" applyAlignment="1" applyProtection="1">
      <alignment horizontal="right"/>
      <protection locked="0"/>
    </xf>
    <xf numFmtId="168" fontId="4" fillId="7" borderId="19" xfId="0" applyNumberFormat="1" applyFont="1" applyFill="1" applyBorder="1" applyAlignment="1">
      <alignment horizontal="right"/>
    </xf>
    <xf numFmtId="168" fontId="4" fillId="7" borderId="1" xfId="0" applyNumberFormat="1" applyFont="1" applyFill="1" applyBorder="1" applyAlignment="1">
      <alignment horizontal="right"/>
    </xf>
    <xf numFmtId="168" fontId="4" fillId="7" borderId="6" xfId="0" applyNumberFormat="1" applyFont="1" applyFill="1" applyBorder="1" applyAlignment="1">
      <alignment horizontal="right"/>
    </xf>
    <xf numFmtId="168" fontId="4" fillId="7" borderId="8" xfId="0" applyNumberFormat="1" applyFont="1" applyFill="1" applyBorder="1" applyAlignment="1">
      <alignment horizontal="right"/>
    </xf>
    <xf numFmtId="168" fontId="4" fillId="7" borderId="18" xfId="0" applyNumberFormat="1" applyFont="1" applyFill="1" applyBorder="1" applyAlignment="1">
      <alignment horizontal="right"/>
    </xf>
    <xf numFmtId="0" fontId="4" fillId="8" borderId="28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center"/>
    </xf>
    <xf numFmtId="165" fontId="13" fillId="0" borderId="11" xfId="0" applyNumberFormat="1" applyFont="1" applyBorder="1" applyAlignment="1">
      <alignment horizontal="right"/>
    </xf>
    <xf numFmtId="168" fontId="4" fillId="11" borderId="20" xfId="0" applyNumberFormat="1" applyFont="1" applyFill="1" applyBorder="1" applyAlignment="1" applyProtection="1">
      <alignment horizontal="right"/>
      <protection locked="0"/>
    </xf>
    <xf numFmtId="168" fontId="4" fillId="11" borderId="5" xfId="0" applyNumberFormat="1" applyFont="1" applyFill="1" applyBorder="1" applyAlignment="1" applyProtection="1">
      <alignment horizontal="right"/>
      <protection locked="0"/>
    </xf>
    <xf numFmtId="168" fontId="4" fillId="11" borderId="7" xfId="0" applyNumberFormat="1" applyFont="1" applyFill="1" applyBorder="1" applyAlignment="1" applyProtection="1">
      <alignment horizontal="right"/>
      <protection locked="0"/>
    </xf>
    <xf numFmtId="168" fontId="4" fillId="11" borderId="12" xfId="0" applyNumberFormat="1" applyFont="1" applyFill="1" applyBorder="1" applyAlignment="1" applyProtection="1">
      <alignment horizontal="right"/>
      <protection locked="0"/>
    </xf>
    <xf numFmtId="0" fontId="4" fillId="0" borderId="44" xfId="0" applyFont="1" applyFill="1" applyBorder="1" applyAlignment="1">
      <alignment horizontal="left" indent="1"/>
    </xf>
    <xf numFmtId="168" fontId="1" fillId="4" borderId="8" xfId="0" applyNumberFormat="1" applyFont="1" applyFill="1" applyBorder="1" applyAlignment="1">
      <alignment horizontal="right" vertical="center"/>
    </xf>
    <xf numFmtId="168" fontId="1" fillId="4" borderId="6" xfId="0" applyNumberFormat="1" applyFont="1" applyFill="1" applyBorder="1" applyAlignment="1">
      <alignment horizontal="right" vertical="center"/>
    </xf>
    <xf numFmtId="168" fontId="4" fillId="11" borderId="40" xfId="0" applyNumberFormat="1" applyFont="1" applyFill="1" applyBorder="1" applyAlignment="1" applyProtection="1">
      <alignment horizontal="right"/>
      <protection locked="0"/>
    </xf>
    <xf numFmtId="168" fontId="4" fillId="11" borderId="8" xfId="0" applyNumberFormat="1" applyFont="1" applyFill="1" applyBorder="1" applyAlignment="1" applyProtection="1">
      <alignment horizontal="right"/>
      <protection locked="0"/>
    </xf>
    <xf numFmtId="169" fontId="1" fillId="8" borderId="1" xfId="0" applyNumberFormat="1" applyFont="1" applyFill="1" applyBorder="1" applyAlignment="1">
      <alignment horizontal="center"/>
    </xf>
    <xf numFmtId="14" fontId="0" fillId="0" borderId="0" xfId="0" applyNumberFormat="1"/>
    <xf numFmtId="167" fontId="4" fillId="0" borderId="9" xfId="0" applyNumberFormat="1" applyFont="1" applyBorder="1" applyAlignment="1" applyProtection="1">
      <alignment horizontal="center" vertical="center" wrapText="1"/>
      <protection hidden="1"/>
    </xf>
    <xf numFmtId="167" fontId="4" fillId="0" borderId="5" xfId="0" applyNumberFormat="1" applyFont="1" applyBorder="1" applyAlignment="1" applyProtection="1">
      <alignment horizontal="center" vertical="center" wrapText="1"/>
      <protection hidden="1"/>
    </xf>
    <xf numFmtId="167" fontId="4" fillId="0" borderId="7" xfId="0" applyNumberFormat="1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165" fontId="2" fillId="0" borderId="17" xfId="0" applyNumberFormat="1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165" fontId="13" fillId="0" borderId="43" xfId="0" applyNumberFormat="1" applyFont="1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67" fontId="4" fillId="9" borderId="20" xfId="0" applyNumberFormat="1" applyFont="1" applyFill="1" applyBorder="1" applyAlignment="1" applyProtection="1">
      <alignment horizontal="center" vertical="center"/>
      <protection hidden="1"/>
    </xf>
    <xf numFmtId="167" fontId="4" fillId="9" borderId="5" xfId="0" applyNumberFormat="1" applyFont="1" applyFill="1" applyBorder="1" applyAlignment="1" applyProtection="1">
      <alignment horizontal="center" vertical="center"/>
      <protection hidden="1"/>
    </xf>
    <xf numFmtId="167" fontId="4" fillId="9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22" fillId="0" borderId="30" xfId="0" applyNumberFormat="1" applyFont="1" applyBorder="1" applyAlignment="1" applyProtection="1">
      <alignment horizontal="center" vertical="center" wrapText="1"/>
      <protection hidden="1"/>
    </xf>
    <xf numFmtId="0" fontId="22" fillId="0" borderId="25" xfId="0" applyNumberFormat="1" applyFont="1" applyBorder="1" applyAlignment="1" applyProtection="1">
      <alignment horizontal="center" vertical="center" wrapText="1"/>
      <protection hidden="1"/>
    </xf>
    <xf numFmtId="0" fontId="22" fillId="0" borderId="26" xfId="0" applyNumberFormat="1" applyFont="1" applyBorder="1" applyAlignment="1" applyProtection="1">
      <alignment horizontal="center" vertical="center" wrapText="1"/>
      <protection hidden="1"/>
    </xf>
    <xf numFmtId="0" fontId="22" fillId="0" borderId="27" xfId="0" applyNumberFormat="1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14" fillId="0" borderId="0" xfId="5"/>
    <xf numFmtId="0" fontId="36" fillId="0" borderId="0" xfId="5" applyNumberFormat="1" applyFont="1" applyBorder="1" applyAlignment="1">
      <alignment horizontal="left" wrapText="1"/>
    </xf>
    <xf numFmtId="0" fontId="22" fillId="0" borderId="50" xfId="5" applyNumberFormat="1" applyFont="1" applyBorder="1" applyAlignment="1" applyProtection="1">
      <alignment horizontal="center" vertical="center" wrapText="1"/>
      <protection hidden="1"/>
    </xf>
    <xf numFmtId="0" fontId="22" fillId="0" borderId="66" xfId="5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23" fillId="5" borderId="30" xfId="5" applyNumberFormat="1" applyFont="1" applyFill="1" applyBorder="1" applyAlignment="1">
      <alignment horizontal="left" vertical="center"/>
    </xf>
    <xf numFmtId="165" fontId="23" fillId="5" borderId="25" xfId="5" applyNumberFormat="1" applyFont="1" applyFill="1" applyBorder="1" applyAlignment="1">
      <alignment horizontal="left" vertical="center"/>
    </xf>
    <xf numFmtId="0" fontId="37" fillId="0" borderId="0" xfId="0" applyFont="1" applyProtection="1">
      <protection hidden="1"/>
    </xf>
    <xf numFmtId="0" fontId="20" fillId="14" borderId="19" xfId="0" applyFont="1" applyFill="1" applyBorder="1" applyAlignment="1">
      <alignment horizontal="left" wrapText="1" indent="2"/>
    </xf>
    <xf numFmtId="165" fontId="23" fillId="14" borderId="1" xfId="5" applyNumberFormat="1" applyFont="1" applyFill="1" applyBorder="1" applyAlignment="1">
      <alignment horizontal="left" vertical="center"/>
    </xf>
    <xf numFmtId="49" fontId="23" fillId="14" borderId="18" xfId="5" applyNumberFormat="1" applyFont="1" applyFill="1" applyBorder="1" applyAlignment="1" applyProtection="1">
      <alignment horizontal="left" vertical="center" wrapText="1"/>
      <protection locked="0"/>
    </xf>
    <xf numFmtId="165" fontId="23" fillId="5" borderId="19" xfId="5" applyNumberFormat="1" applyFont="1" applyFill="1" applyBorder="1" applyAlignment="1">
      <alignment horizontal="left" vertical="center"/>
    </xf>
    <xf numFmtId="165" fontId="23" fillId="5" borderId="1" xfId="5" applyNumberFormat="1" applyFont="1" applyFill="1" applyBorder="1" applyAlignment="1">
      <alignment horizontal="left" vertical="center"/>
    </xf>
    <xf numFmtId="165" fontId="23" fillId="5" borderId="20" xfId="5" applyNumberFormat="1" applyFont="1" applyFill="1" applyBorder="1" applyAlignment="1">
      <alignment horizontal="left" vertical="center"/>
    </xf>
    <xf numFmtId="165" fontId="23" fillId="5" borderId="5" xfId="5" applyNumberFormat="1" applyFont="1" applyFill="1" applyBorder="1" applyAlignment="1">
      <alignment horizontal="left" vertical="center"/>
    </xf>
    <xf numFmtId="49" fontId="23" fillId="5" borderId="12" xfId="5" applyNumberFormat="1" applyFont="1" applyFill="1" applyBorder="1" applyAlignment="1" applyProtection="1">
      <alignment horizontal="left" vertical="center" wrapText="1"/>
      <protection locked="0"/>
    </xf>
    <xf numFmtId="165" fontId="23" fillId="5" borderId="27" xfId="5" applyNumberFormat="1" applyFont="1" applyFill="1" applyBorder="1" applyAlignment="1" applyProtection="1">
      <alignment horizontal="left" vertical="center"/>
      <protection locked="0"/>
    </xf>
    <xf numFmtId="165" fontId="23" fillId="5" borderId="18" xfId="5" applyNumberFormat="1" applyFont="1" applyFill="1" applyBorder="1" applyAlignment="1" applyProtection="1">
      <alignment horizontal="left" vertical="center"/>
      <protection locked="0"/>
    </xf>
    <xf numFmtId="168" fontId="1" fillId="16" borderId="10" xfId="0" applyNumberFormat="1" applyFont="1" applyFill="1" applyBorder="1" applyAlignment="1" applyProtection="1">
      <alignment horizontal="right" vertical="center"/>
      <protection locked="0"/>
    </xf>
    <xf numFmtId="0" fontId="31" fillId="0" borderId="0" xfId="0" applyFont="1" applyBorder="1" applyAlignment="1">
      <alignment horizontal="left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13" fillId="9" borderId="49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8" borderId="30" xfId="0" applyFont="1" applyFill="1" applyBorder="1" applyAlignment="1" applyProtection="1">
      <alignment horizontal="center" vertical="center"/>
      <protection hidden="1"/>
    </xf>
    <xf numFmtId="0" fontId="13" fillId="8" borderId="25" xfId="0" applyFont="1" applyFill="1" applyBorder="1" applyAlignment="1" applyProtection="1">
      <alignment horizontal="center" vertical="center"/>
      <protection hidden="1"/>
    </xf>
    <xf numFmtId="0" fontId="13" fillId="8" borderId="27" xfId="0" applyFont="1" applyFill="1" applyBorder="1" applyAlignment="1" applyProtection="1">
      <alignment horizontal="center" vertical="center"/>
      <protection hidden="1"/>
    </xf>
    <xf numFmtId="0" fontId="13" fillId="0" borderId="30" xfId="0" applyFont="1" applyBorder="1" applyAlignment="1" applyProtection="1">
      <alignment horizontal="center" vertical="center"/>
      <protection hidden="1"/>
    </xf>
    <xf numFmtId="0" fontId="13" fillId="0" borderId="25" xfId="0" applyFont="1" applyBorder="1" applyAlignment="1" applyProtection="1">
      <alignment horizontal="center" vertical="center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165" fontId="13" fillId="0" borderId="30" xfId="0" applyNumberFormat="1" applyFont="1" applyBorder="1" applyAlignment="1" applyProtection="1">
      <alignment horizontal="center" vertical="center"/>
      <protection hidden="1"/>
    </xf>
    <xf numFmtId="0" fontId="13" fillId="0" borderId="26" xfId="0" applyFont="1" applyBorder="1" applyAlignment="1" applyProtection="1">
      <alignment horizontal="center" vertical="center"/>
      <protection hidden="1"/>
    </xf>
    <xf numFmtId="0" fontId="13" fillId="0" borderId="4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5" fontId="13" fillId="0" borderId="50" xfId="0" applyNumberFormat="1" applyFont="1" applyBorder="1" applyAlignment="1" applyProtection="1">
      <alignment horizontal="center" vertical="center"/>
      <protection hidden="1"/>
    </xf>
    <xf numFmtId="165" fontId="13" fillId="0" borderId="32" xfId="0" applyNumberFormat="1" applyFont="1" applyBorder="1" applyAlignment="1" applyProtection="1">
      <alignment horizontal="center" vertical="center"/>
      <protection hidden="1"/>
    </xf>
    <xf numFmtId="0" fontId="2" fillId="0" borderId="4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0" fontId="2" fillId="0" borderId="66" xfId="0" applyFont="1" applyBorder="1" applyAlignment="1" applyProtection="1">
      <alignment horizontal="center" vertical="center"/>
      <protection hidden="1"/>
    </xf>
    <xf numFmtId="0" fontId="21" fillId="0" borderId="50" xfId="0" applyFont="1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/>
      <protection hidden="1"/>
    </xf>
    <xf numFmtId="0" fontId="2" fillId="0" borderId="6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1" fillId="0" borderId="65" xfId="0" applyFont="1" applyBorder="1" applyAlignment="1" applyProtection="1">
      <alignment horizontal="center" vertical="center"/>
      <protection hidden="1"/>
    </xf>
    <xf numFmtId="0" fontId="21" fillId="0" borderId="41" xfId="0" applyFont="1" applyBorder="1" applyAlignment="1" applyProtection="1">
      <alignment horizontal="center" vertical="center"/>
      <protection hidden="1"/>
    </xf>
    <xf numFmtId="0" fontId="25" fillId="0" borderId="41" xfId="0" applyNumberFormat="1" applyFont="1" applyBorder="1" applyAlignment="1">
      <alignment horizontal="center" vertical="center"/>
    </xf>
    <xf numFmtId="0" fontId="13" fillId="0" borderId="50" xfId="0" applyNumberFormat="1" applyFont="1" applyBorder="1" applyAlignment="1" applyProtection="1">
      <alignment horizontal="center" vertical="center" wrapText="1"/>
      <protection hidden="1"/>
    </xf>
    <xf numFmtId="0" fontId="13" fillId="0" borderId="32" xfId="0" applyNumberFormat="1" applyFont="1" applyBorder="1" applyAlignment="1" applyProtection="1">
      <alignment horizontal="center" vertical="center" wrapText="1"/>
      <protection hidden="1"/>
    </xf>
    <xf numFmtId="0" fontId="22" fillId="0" borderId="2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13" fillId="0" borderId="24" xfId="0" applyNumberFormat="1" applyFont="1" applyBorder="1" applyAlignment="1" applyProtection="1">
      <alignment horizontal="center" vertical="center" wrapText="1"/>
      <protection hidden="1"/>
    </xf>
    <xf numFmtId="0" fontId="13" fillId="0" borderId="25" xfId="0" applyNumberFormat="1" applyFont="1" applyBorder="1" applyAlignment="1" applyProtection="1">
      <alignment horizontal="center" vertical="center" wrapText="1"/>
      <protection hidden="1"/>
    </xf>
    <xf numFmtId="0" fontId="13" fillId="0" borderId="26" xfId="0" applyNumberFormat="1" applyFont="1" applyBorder="1" applyAlignment="1" applyProtection="1">
      <alignment horizontal="center" vertical="center" wrapText="1"/>
      <protection hidden="1"/>
    </xf>
    <xf numFmtId="0" fontId="35" fillId="0" borderId="0" xfId="5" applyNumberFormat="1" applyFont="1" applyAlignment="1">
      <alignment horizontal="center"/>
    </xf>
  </cellXfs>
  <cellStyles count="6">
    <cellStyle name="Обычный" xfId="0" builtinId="0"/>
    <cellStyle name="Обычный 2" xfId="1"/>
    <cellStyle name="Обычный_4. Комментарии" xfId="5"/>
    <cellStyle name="Пояснение" xfId="2" builtinId="53" customBuiltin="1"/>
    <cellStyle name="Финансовый" xfId="3" builtinId="3"/>
    <cellStyle name="Финансовый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5C"/>
      <rgbColor rgb="00808000"/>
      <rgbColor rgb="00800080"/>
      <rgbColor rgb="00008080"/>
      <rgbColor rgb="00BFBFC0"/>
      <rgbColor rgb="00808080"/>
      <rgbColor rgb="008EB4E3"/>
      <rgbColor rgb="00993366"/>
      <rgbColor rgb="00EBF1DE"/>
      <rgbColor rgb="00DCE6F2"/>
      <rgbColor rgb="00660066"/>
      <rgbColor rgb="00FF8080"/>
      <rgbColor rgb="000066CC"/>
      <rgbColor rgb="00B9CDE5"/>
      <rgbColor rgb="00000080"/>
      <rgbColor rgb="00FF00FF"/>
      <rgbColor rgb="00D9D416"/>
      <rgbColor rgb="0000FFFF"/>
      <rgbColor rgb="00800080"/>
      <rgbColor rgb="00800000"/>
      <rgbColor rgb="00008080"/>
      <rgbColor rgb="000000FF"/>
      <rgbColor rgb="0000B0F0"/>
      <rgbColor rgb="00DFDFE0"/>
      <rgbColor rgb="00CBE4E5"/>
      <rgbColor rgb="00F2DCDB"/>
      <rgbColor rgb="0093CDDD"/>
      <rgbColor rgb="00B7DEE8"/>
      <rgbColor rgb="00ACC8BD"/>
      <rgbColor rgb="00FCD5B5"/>
      <rgbColor rgb="003366FF"/>
      <rgbColor rgb="0033CCCC"/>
      <rgbColor rgb="0092D050"/>
      <rgbColor rgb="00FFC000"/>
      <rgbColor rgb="00FF9900"/>
      <rgbColor rgb="00E46C0A"/>
      <rgbColor rgb="00666699"/>
      <rgbColor rgb="00A0A0A0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889000</xdr:colOff>
      <xdr:row>5</xdr:row>
      <xdr:rowOff>0</xdr:rowOff>
    </xdr:to>
    <xdr:sp macro="" textlink="">
      <xdr:nvSpPr>
        <xdr:cNvPr id="1950" name="shapetype_202" hidden="1">
          <a:extLst>
            <a:ext uri="{FF2B5EF4-FFF2-40B4-BE49-F238E27FC236}">
              <a16:creationId xmlns="" xmlns:a16="http://schemas.microsoft.com/office/drawing/2014/main" id="{5A9A32BC-FB1D-441E-BE94-214BBC50812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78900" cy="239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40"/>
  <sheetViews>
    <sheetView showGridLines="0" view="pageBreakPreview" topLeftCell="A37" zoomScale="30" zoomScaleNormal="100" zoomScaleSheetLayoutView="30" workbookViewId="0">
      <pane xSplit="2" topLeftCell="G1" activePane="topRight" state="frozen"/>
      <selection activeCell="A17" sqref="A17"/>
      <selection pane="topRight" activeCell="M21" sqref="M21"/>
    </sheetView>
  </sheetViews>
  <sheetFormatPr defaultColWidth="8.5703125" defaultRowHeight="15" x14ac:dyDescent="0.25"/>
  <cols>
    <col min="1" max="1" width="46.85546875" customWidth="1"/>
    <col min="2" max="2" width="16.140625" style="18" customWidth="1"/>
    <col min="3" max="37" width="13.140625" customWidth="1"/>
    <col min="38" max="39" width="10.85546875" customWidth="1"/>
    <col min="40" max="40" width="11.140625" customWidth="1"/>
    <col min="41" max="41" width="10.85546875" customWidth="1"/>
    <col min="42" max="42" width="10.42578125" customWidth="1"/>
    <col min="43" max="43" width="8.85546875" customWidth="1"/>
    <col min="44" max="44" width="10.140625" customWidth="1"/>
    <col min="45" max="45" width="8.5703125" customWidth="1"/>
    <col min="46" max="46" width="8.85546875" customWidth="1"/>
    <col min="47" max="49" width="8.5703125" customWidth="1"/>
    <col min="50" max="52" width="8.85546875" customWidth="1"/>
  </cols>
  <sheetData>
    <row r="1" spans="1:52" x14ac:dyDescent="0.25">
      <c r="A1" s="15"/>
      <c r="B1" s="21" t="s">
        <v>9</v>
      </c>
      <c r="C1" s="19"/>
      <c r="D1" s="19"/>
      <c r="E1" s="19"/>
      <c r="F1" s="19"/>
      <c r="G1" s="5"/>
      <c r="H1" s="5"/>
      <c r="I1" s="4"/>
      <c r="J1" s="4"/>
      <c r="K1" s="31"/>
    </row>
    <row r="2" spans="1:52" ht="30" x14ac:dyDescent="0.25">
      <c r="A2" s="22" t="s">
        <v>10</v>
      </c>
      <c r="B2" s="122"/>
      <c r="C2" s="20"/>
      <c r="D2" s="4"/>
      <c r="E2" s="4"/>
      <c r="F2" s="4"/>
    </row>
    <row r="3" spans="1:52" ht="30" x14ac:dyDescent="0.25">
      <c r="A3" s="22" t="s">
        <v>11</v>
      </c>
      <c r="B3" s="123"/>
      <c r="C3" s="20"/>
      <c r="D3" s="20"/>
      <c r="E3" s="20"/>
      <c r="F3" s="20"/>
      <c r="G3" s="4"/>
      <c r="H3" s="4"/>
      <c r="I3" s="4"/>
    </row>
    <row r="4" spans="1:52" ht="30" x14ac:dyDescent="0.25">
      <c r="A4" s="22" t="s">
        <v>13</v>
      </c>
      <c r="B4" s="124"/>
      <c r="C4" s="20"/>
      <c r="D4" s="20"/>
      <c r="E4" s="20"/>
      <c r="F4" s="20"/>
      <c r="G4" s="4"/>
      <c r="H4" s="4"/>
      <c r="I4" s="4"/>
    </row>
    <row r="5" spans="1:52" x14ac:dyDescent="0.25">
      <c r="A5" s="34"/>
      <c r="B5" s="125"/>
      <c r="C5" s="20"/>
      <c r="D5" s="20"/>
      <c r="E5" s="20"/>
      <c r="F5" s="20"/>
      <c r="G5" s="4"/>
      <c r="H5" s="4"/>
      <c r="I5" s="4"/>
    </row>
    <row r="6" spans="1:52" x14ac:dyDescent="0.25">
      <c r="A6" s="148" t="s">
        <v>92</v>
      </c>
      <c r="B6" s="17"/>
      <c r="C6" s="4"/>
      <c r="D6" s="4"/>
      <c r="E6" s="4"/>
      <c r="F6" s="4"/>
      <c r="G6" s="4"/>
      <c r="H6" s="4"/>
      <c r="I6" s="4"/>
    </row>
    <row r="7" spans="1:52" x14ac:dyDescent="0.25">
      <c r="A7" s="149" t="s">
        <v>93</v>
      </c>
      <c r="B7" s="17"/>
      <c r="C7" s="4"/>
      <c r="D7" s="4"/>
      <c r="E7" s="4"/>
      <c r="F7" s="4"/>
      <c r="G7" s="4"/>
      <c r="H7" s="4"/>
      <c r="I7" s="4"/>
    </row>
    <row r="8" spans="1:52" ht="15.75" thickBot="1" x14ac:dyDescent="0.3">
      <c r="A8" s="149" t="s">
        <v>94</v>
      </c>
      <c r="B8" s="17"/>
      <c r="C8" s="4"/>
      <c r="D8" s="4"/>
      <c r="E8" s="4"/>
      <c r="F8" s="4"/>
      <c r="G8" s="4"/>
      <c r="H8" s="4"/>
      <c r="I8" s="4"/>
    </row>
    <row r="9" spans="1:52" ht="15.75" thickBot="1" x14ac:dyDescent="0.3">
      <c r="A9" s="41" t="s">
        <v>12</v>
      </c>
      <c r="B9" s="43" t="s">
        <v>35</v>
      </c>
      <c r="C9" s="367" t="str">
        <f>YEAR(Test_date)&amp;" год"</f>
        <v>2021 год</v>
      </c>
      <c r="D9" s="368" t="s">
        <v>0</v>
      </c>
      <c r="E9" s="369" t="s">
        <v>1</v>
      </c>
      <c r="F9" s="369" t="s">
        <v>2</v>
      </c>
      <c r="G9" s="370" t="s">
        <v>3</v>
      </c>
      <c r="H9" s="371" t="str">
        <f>(LEFT(C9,4)+1)&amp;" год"</f>
        <v>2022 год</v>
      </c>
      <c r="I9" s="368" t="s">
        <v>0</v>
      </c>
      <c r="J9" s="369" t="s">
        <v>1</v>
      </c>
      <c r="K9" s="369" t="s">
        <v>2</v>
      </c>
      <c r="L9" s="370" t="s">
        <v>3</v>
      </c>
      <c r="M9" s="371" t="str">
        <f>(LEFT(H9,4)+1)&amp;" год"</f>
        <v>2023 год</v>
      </c>
      <c r="N9" s="368" t="s">
        <v>0</v>
      </c>
      <c r="O9" s="369" t="s">
        <v>1</v>
      </c>
      <c r="P9" s="370" t="s">
        <v>2</v>
      </c>
      <c r="Q9" s="372" t="s">
        <v>3</v>
      </c>
    </row>
    <row r="10" spans="1:52" ht="15.75" thickBot="1" x14ac:dyDescent="0.3">
      <c r="A10" s="53" t="s">
        <v>103</v>
      </c>
      <c r="B10" s="42"/>
      <c r="C10" s="42"/>
      <c r="D10" s="40"/>
      <c r="E10" s="40"/>
      <c r="F10" s="40"/>
      <c r="G10" s="40"/>
      <c r="H10" s="39"/>
      <c r="I10" s="40"/>
      <c r="J10" s="40"/>
      <c r="K10" s="40"/>
      <c r="L10" s="40"/>
      <c r="M10" s="39"/>
      <c r="N10" s="40"/>
      <c r="O10" s="40"/>
      <c r="P10" s="40"/>
      <c r="Q10" s="167"/>
    </row>
    <row r="11" spans="1:52" ht="15.75" thickBot="1" x14ac:dyDescent="0.3">
      <c r="A11" s="354" t="s">
        <v>114</v>
      </c>
      <c r="B11" s="67" t="s">
        <v>88</v>
      </c>
      <c r="C11" s="68">
        <f>SUM(D11:G11)</f>
        <v>0</v>
      </c>
      <c r="D11" s="280">
        <v>0</v>
      </c>
      <c r="E11" s="281">
        <v>0</v>
      </c>
      <c r="F11" s="281">
        <v>0</v>
      </c>
      <c r="G11" s="282">
        <v>0</v>
      </c>
      <c r="H11" s="69">
        <f>SUM(I11:L11)</f>
        <v>0</v>
      </c>
      <c r="I11" s="280">
        <v>0</v>
      </c>
      <c r="J11" s="281">
        <v>0</v>
      </c>
      <c r="K11" s="281">
        <v>0</v>
      </c>
      <c r="L11" s="282">
        <v>0</v>
      </c>
      <c r="M11" s="69">
        <f>SUM(N11:Q11)</f>
        <v>0</v>
      </c>
      <c r="N11" s="283">
        <v>0</v>
      </c>
      <c r="O11" s="281">
        <v>0</v>
      </c>
      <c r="P11" s="282">
        <v>0</v>
      </c>
      <c r="Q11" s="284">
        <v>0</v>
      </c>
      <c r="AY11" t="s">
        <v>57</v>
      </c>
      <c r="AZ11">
        <v>60</v>
      </c>
    </row>
    <row r="12" spans="1:52" s="10" customFormat="1" x14ac:dyDescent="0.25">
      <c r="A12" s="23"/>
      <c r="B12" s="24"/>
      <c r="C12" s="25"/>
      <c r="D12" s="26"/>
      <c r="E12" s="26"/>
      <c r="F12" s="26"/>
      <c r="G12" s="26"/>
      <c r="H12" s="25"/>
      <c r="I12" s="26"/>
      <c r="J12" s="26"/>
      <c r="K12" s="26"/>
      <c r="L12" s="26"/>
      <c r="M12" s="25"/>
      <c r="N12" s="26"/>
      <c r="O12" s="26"/>
      <c r="P12" s="26"/>
      <c r="Q12" s="26"/>
      <c r="R12" s="27"/>
      <c r="S12" s="27"/>
      <c r="T12" s="27"/>
      <c r="U12" s="27"/>
      <c r="V12" s="27"/>
      <c r="W12" s="27"/>
      <c r="X12" s="27"/>
      <c r="Y12" s="27"/>
      <c r="Z12" s="27"/>
      <c r="AA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Z12"/>
    </row>
    <row r="13" spans="1:52" s="10" customFormat="1" x14ac:dyDescent="0.25">
      <c r="A13" s="148" t="s">
        <v>95</v>
      </c>
      <c r="B13" s="24"/>
      <c r="C13" s="25"/>
      <c r="D13" s="26"/>
      <c r="E13" s="26"/>
      <c r="F13" s="26"/>
      <c r="G13" s="26"/>
      <c r="H13" s="25"/>
      <c r="I13" s="26"/>
      <c r="J13" s="26"/>
      <c r="K13" s="26"/>
      <c r="L13" s="26"/>
      <c r="M13" s="25"/>
      <c r="N13" s="26"/>
      <c r="O13" s="26"/>
      <c r="P13" s="26"/>
      <c r="Q13" s="26"/>
      <c r="R13" s="27"/>
      <c r="S13" s="27"/>
      <c r="T13" s="27"/>
      <c r="U13" s="27"/>
      <c r="V13" s="27"/>
      <c r="W13" s="27"/>
      <c r="X13" s="27"/>
      <c r="Y13" s="27"/>
      <c r="Z13" s="27"/>
      <c r="AA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Z13"/>
    </row>
    <row r="14" spans="1:52" ht="15.75" thickBot="1" x14ac:dyDescent="0.3">
      <c r="A14" s="149" t="s">
        <v>55</v>
      </c>
      <c r="B14" s="1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52" s="18" customFormat="1" ht="14.45" customHeight="1" x14ac:dyDescent="0.25">
      <c r="A15" s="436" t="s">
        <v>14</v>
      </c>
      <c r="B15" s="438" t="s">
        <v>35</v>
      </c>
      <c r="C15" s="440" t="str">
        <f>(YEAR(Test_date)-3)&amp;" год"</f>
        <v>2018 год</v>
      </c>
      <c r="D15" s="434" t="str">
        <f>C15</f>
        <v>2018 год</v>
      </c>
      <c r="E15" s="430"/>
      <c r="F15" s="430"/>
      <c r="G15" s="435"/>
      <c r="H15" s="432" t="str">
        <f>(LEFT(C15,4)+1)&amp;" год"</f>
        <v>2019 год</v>
      </c>
      <c r="I15" s="434" t="str">
        <f>H15</f>
        <v>2019 год</v>
      </c>
      <c r="J15" s="430"/>
      <c r="K15" s="430"/>
      <c r="L15" s="435"/>
      <c r="M15" s="432" t="str">
        <f>(LEFT(H15,4)+1)&amp;" год"</f>
        <v>2020 год</v>
      </c>
      <c r="N15" s="434" t="str">
        <f>M15</f>
        <v>2020 год</v>
      </c>
      <c r="O15" s="430"/>
      <c r="P15" s="430"/>
      <c r="Q15" s="431"/>
    </row>
    <row r="16" spans="1:52" s="18" customFormat="1" ht="15.75" thickBot="1" x14ac:dyDescent="0.3">
      <c r="A16" s="437"/>
      <c r="B16" s="439"/>
      <c r="C16" s="441"/>
      <c r="D16" s="376" t="s">
        <v>0</v>
      </c>
      <c r="E16" s="377" t="s">
        <v>1</v>
      </c>
      <c r="F16" s="377" t="s">
        <v>2</v>
      </c>
      <c r="G16" s="385" t="s">
        <v>3</v>
      </c>
      <c r="H16" s="433"/>
      <c r="I16" s="386" t="s">
        <v>0</v>
      </c>
      <c r="J16" s="377" t="s">
        <v>1</v>
      </c>
      <c r="K16" s="377" t="s">
        <v>2</v>
      </c>
      <c r="L16" s="385" t="s">
        <v>3</v>
      </c>
      <c r="M16" s="433"/>
      <c r="N16" s="376" t="s">
        <v>0</v>
      </c>
      <c r="O16" s="377" t="s">
        <v>1</v>
      </c>
      <c r="P16" s="377" t="s">
        <v>2</v>
      </c>
      <c r="Q16" s="378" t="s">
        <v>3</v>
      </c>
    </row>
    <row r="17" spans="1:49" x14ac:dyDescent="0.25">
      <c r="A17" s="326" t="s">
        <v>4</v>
      </c>
      <c r="B17" s="327" t="s">
        <v>88</v>
      </c>
      <c r="C17" s="84">
        <f>D17</f>
        <v>1.6</v>
      </c>
      <c r="D17" s="328">
        <v>1.6</v>
      </c>
      <c r="E17" s="329">
        <f>D24</f>
        <v>1.599</v>
      </c>
      <c r="F17" s="329">
        <f>E24</f>
        <v>1.6</v>
      </c>
      <c r="G17" s="330">
        <f>F24</f>
        <v>1.6020000000000001</v>
      </c>
      <c r="H17" s="84">
        <f>I17</f>
        <v>1.6020000000000001</v>
      </c>
      <c r="I17" s="331">
        <f>G24</f>
        <v>1.6020000000000001</v>
      </c>
      <c r="J17" s="332">
        <f>I24</f>
        <v>1.6080000000000001</v>
      </c>
      <c r="K17" s="332">
        <f>J24</f>
        <v>1.6160000000000001</v>
      </c>
      <c r="L17" s="333">
        <f>K24</f>
        <v>1.6240000000000001</v>
      </c>
      <c r="M17" s="84">
        <f>N17</f>
        <v>1.631</v>
      </c>
      <c r="N17" s="334">
        <f>L24</f>
        <v>1.631</v>
      </c>
      <c r="O17" s="332">
        <f>N24</f>
        <v>1.6779999999999999</v>
      </c>
      <c r="P17" s="332">
        <f>O24</f>
        <v>1.6839999999999999</v>
      </c>
      <c r="Q17" s="335">
        <f>P24</f>
        <v>1.7010000000000001</v>
      </c>
      <c r="R17" s="4"/>
      <c r="S17" s="4"/>
      <c r="T17" s="4"/>
      <c r="U17" s="4"/>
      <c r="V17" s="4"/>
      <c r="W17" s="4"/>
    </row>
    <row r="18" spans="1:49" x14ac:dyDescent="0.25">
      <c r="A18" s="336" t="s">
        <v>6</v>
      </c>
      <c r="B18" s="337" t="s">
        <v>88</v>
      </c>
      <c r="C18" s="79">
        <f>SUM(D18:G18)</f>
        <v>0.14300000000000002</v>
      </c>
      <c r="D18" s="338">
        <v>3.6999999999999998E-2</v>
      </c>
      <c r="E18" s="339">
        <v>3.5000000000000003E-2</v>
      </c>
      <c r="F18" s="339">
        <v>3.5999999999999997E-2</v>
      </c>
      <c r="G18" s="340">
        <v>3.5000000000000003E-2</v>
      </c>
      <c r="H18" s="79">
        <f>SUM(I18:L18)</f>
        <v>0.16</v>
      </c>
      <c r="I18" s="338">
        <v>0.04</v>
      </c>
      <c r="J18" s="339">
        <v>4.1000000000000002E-2</v>
      </c>
      <c r="K18" s="339">
        <v>3.7999999999999999E-2</v>
      </c>
      <c r="L18" s="340">
        <v>4.1000000000000002E-2</v>
      </c>
      <c r="M18" s="79">
        <f>SUM(N18:Q18)</f>
        <v>0.157</v>
      </c>
      <c r="N18" s="338">
        <v>3.6999999999999998E-2</v>
      </c>
      <c r="O18" s="339">
        <v>3.5999999999999997E-2</v>
      </c>
      <c r="P18" s="339">
        <v>4.2999999999999997E-2</v>
      </c>
      <c r="Q18" s="341">
        <v>4.1000000000000002E-2</v>
      </c>
    </row>
    <row r="19" spans="1:49" x14ac:dyDescent="0.25">
      <c r="A19" s="336" t="s">
        <v>15</v>
      </c>
      <c r="B19" s="337" t="s">
        <v>88</v>
      </c>
      <c r="C19" s="79">
        <f>SUM(D19:G19)</f>
        <v>6.9859999999999998</v>
      </c>
      <c r="D19" s="338">
        <v>1.744</v>
      </c>
      <c r="E19" s="339">
        <v>1.748</v>
      </c>
      <c r="F19" s="339">
        <v>1.7470000000000001</v>
      </c>
      <c r="G19" s="340">
        <v>1.7470000000000001</v>
      </c>
      <c r="H19" s="79">
        <f>SUM(I19:L19)</f>
        <v>6.9689999999999994</v>
      </c>
      <c r="I19" s="338">
        <v>1.7410000000000001</v>
      </c>
      <c r="J19" s="339">
        <v>1.742</v>
      </c>
      <c r="K19" s="339">
        <v>1.7450000000000001</v>
      </c>
      <c r="L19" s="340">
        <v>1.7410000000000001</v>
      </c>
      <c r="M19" s="79">
        <f>SUM(N19:Q19)</f>
        <v>7.0309999999999997</v>
      </c>
      <c r="N19" s="338">
        <v>1.7809999999999999</v>
      </c>
      <c r="O19" s="339">
        <v>1.742</v>
      </c>
      <c r="P19" s="339">
        <v>1.7450000000000001</v>
      </c>
      <c r="Q19" s="341">
        <v>1.7629999999999999</v>
      </c>
    </row>
    <row r="20" spans="1:49" x14ac:dyDescent="0.25">
      <c r="A20" s="336" t="s">
        <v>16</v>
      </c>
      <c r="B20" s="337" t="s">
        <v>88</v>
      </c>
      <c r="C20" s="79">
        <f t="shared" ref="C20:Q20" si="0">C17+C18+C19</f>
        <v>8.7289999999999992</v>
      </c>
      <c r="D20" s="342">
        <f t="shared" si="0"/>
        <v>3.3810000000000002</v>
      </c>
      <c r="E20" s="343">
        <f t="shared" si="0"/>
        <v>3.3819999999999997</v>
      </c>
      <c r="F20" s="343">
        <f t="shared" si="0"/>
        <v>3.383</v>
      </c>
      <c r="G20" s="344">
        <f t="shared" si="0"/>
        <v>3.3840000000000003</v>
      </c>
      <c r="H20" s="79">
        <f t="shared" si="0"/>
        <v>8.7309999999999999</v>
      </c>
      <c r="I20" s="345">
        <f t="shared" si="0"/>
        <v>3.383</v>
      </c>
      <c r="J20" s="343">
        <f t="shared" si="0"/>
        <v>3.391</v>
      </c>
      <c r="K20" s="343">
        <f t="shared" si="0"/>
        <v>3.399</v>
      </c>
      <c r="L20" s="344">
        <f t="shared" si="0"/>
        <v>3.4060000000000001</v>
      </c>
      <c r="M20" s="79">
        <f t="shared" si="0"/>
        <v>8.8189999999999991</v>
      </c>
      <c r="N20" s="342">
        <f t="shared" si="0"/>
        <v>3.4489999999999998</v>
      </c>
      <c r="O20" s="343">
        <f t="shared" si="0"/>
        <v>3.456</v>
      </c>
      <c r="P20" s="343">
        <f t="shared" si="0"/>
        <v>3.472</v>
      </c>
      <c r="Q20" s="346">
        <f t="shared" si="0"/>
        <v>3.5049999999999999</v>
      </c>
    </row>
    <row r="21" spans="1:49" x14ac:dyDescent="0.25">
      <c r="A21" s="336" t="s">
        <v>71</v>
      </c>
      <c r="B21" s="337" t="s">
        <v>88</v>
      </c>
      <c r="C21" s="79">
        <f>SUM(D21:G21)</f>
        <v>7.1269999999999998</v>
      </c>
      <c r="D21" s="357">
        <v>1.782</v>
      </c>
      <c r="E21" s="339">
        <v>1.782</v>
      </c>
      <c r="F21" s="339">
        <v>1.7809999999999999</v>
      </c>
      <c r="G21" s="358">
        <v>1.782</v>
      </c>
      <c r="H21" s="79">
        <f>SUM(I21:L21)</f>
        <v>7.1</v>
      </c>
      <c r="I21" s="338">
        <v>1.7749999999999999</v>
      </c>
      <c r="J21" s="339">
        <v>1.7749999999999999</v>
      </c>
      <c r="K21" s="339">
        <v>1.7749999999999999</v>
      </c>
      <c r="L21" s="340">
        <v>1.7749999999999999</v>
      </c>
      <c r="M21" s="79">
        <f>SUM(N21:Q21)</f>
        <v>7.085</v>
      </c>
      <c r="N21" s="338">
        <v>1.7709999999999999</v>
      </c>
      <c r="O21" s="339">
        <v>1.772</v>
      </c>
      <c r="P21" s="339">
        <v>1.7709999999999999</v>
      </c>
      <c r="Q21" s="341">
        <v>1.7709999999999999</v>
      </c>
    </row>
    <row r="22" spans="1:49" x14ac:dyDescent="0.25">
      <c r="A22" s="336" t="s">
        <v>5</v>
      </c>
      <c r="B22" s="337" t="s">
        <v>88</v>
      </c>
      <c r="C22" s="79">
        <f>SUM(D22:G22)</f>
        <v>0</v>
      </c>
      <c r="D22" s="357">
        <v>0</v>
      </c>
      <c r="E22" s="339">
        <v>0</v>
      </c>
      <c r="F22" s="339">
        <v>0</v>
      </c>
      <c r="G22" s="358">
        <v>0</v>
      </c>
      <c r="H22" s="79">
        <f>SUM(I22:L22)</f>
        <v>0</v>
      </c>
      <c r="I22" s="338">
        <v>0</v>
      </c>
      <c r="J22" s="339">
        <v>0</v>
      </c>
      <c r="K22" s="339">
        <v>0</v>
      </c>
      <c r="L22" s="340">
        <v>0</v>
      </c>
      <c r="M22" s="79">
        <f>SUM(N22:Q22)</f>
        <v>0</v>
      </c>
      <c r="N22" s="338">
        <v>0</v>
      </c>
      <c r="O22" s="339">
        <v>0</v>
      </c>
      <c r="P22" s="339">
        <v>0</v>
      </c>
      <c r="Q22" s="341">
        <v>0</v>
      </c>
    </row>
    <row r="23" spans="1:49" x14ac:dyDescent="0.25">
      <c r="A23" s="336" t="s">
        <v>17</v>
      </c>
      <c r="B23" s="337" t="s">
        <v>88</v>
      </c>
      <c r="C23" s="84">
        <f>SUM(D23:G23)</f>
        <v>0</v>
      </c>
      <c r="D23" s="357">
        <v>0</v>
      </c>
      <c r="E23" s="339">
        <v>0</v>
      </c>
      <c r="F23" s="339">
        <v>0</v>
      </c>
      <c r="G23" s="358">
        <v>0</v>
      </c>
      <c r="H23" s="79">
        <f>SUM(I23:L23)</f>
        <v>0</v>
      </c>
      <c r="I23" s="338">
        <v>0</v>
      </c>
      <c r="J23" s="339">
        <v>0</v>
      </c>
      <c r="K23" s="339">
        <v>0</v>
      </c>
      <c r="L23" s="340">
        <v>0</v>
      </c>
      <c r="M23" s="79">
        <f>SUM(N23:Q23)</f>
        <v>0</v>
      </c>
      <c r="N23" s="338">
        <v>0</v>
      </c>
      <c r="O23" s="339">
        <v>0</v>
      </c>
      <c r="P23" s="339">
        <v>0</v>
      </c>
      <c r="Q23" s="341">
        <v>0</v>
      </c>
    </row>
    <row r="24" spans="1:49" ht="15.75" thickBot="1" x14ac:dyDescent="0.3">
      <c r="A24" s="347" t="s">
        <v>7</v>
      </c>
      <c r="B24" s="348" t="s">
        <v>88</v>
      </c>
      <c r="C24" s="349">
        <f>G24</f>
        <v>1.6020000000000001</v>
      </c>
      <c r="D24" s="350">
        <v>1.599</v>
      </c>
      <c r="E24" s="351">
        <v>1.6</v>
      </c>
      <c r="F24" s="351">
        <v>1.6020000000000001</v>
      </c>
      <c r="G24" s="352">
        <v>1.6020000000000001</v>
      </c>
      <c r="H24" s="349">
        <f>L24</f>
        <v>1.631</v>
      </c>
      <c r="I24" s="350">
        <v>1.6080000000000001</v>
      </c>
      <c r="J24" s="351">
        <v>1.6160000000000001</v>
      </c>
      <c r="K24" s="351">
        <v>1.6240000000000001</v>
      </c>
      <c r="L24" s="352">
        <v>1.631</v>
      </c>
      <c r="M24" s="349">
        <f>Q24</f>
        <v>1.734</v>
      </c>
      <c r="N24" s="350">
        <v>1.6779999999999999</v>
      </c>
      <c r="O24" s="351">
        <v>1.6839999999999999</v>
      </c>
      <c r="P24" s="351">
        <v>1.7010000000000001</v>
      </c>
      <c r="Q24" s="353">
        <v>1.734</v>
      </c>
      <c r="R24" s="4"/>
      <c r="S24" s="4"/>
      <c r="T24" s="4"/>
      <c r="U24" s="4"/>
      <c r="V24" s="4"/>
      <c r="W24" s="4"/>
      <c r="Y24" s="4"/>
      <c r="Z24" s="4"/>
      <c r="AA24" s="4"/>
      <c r="AB24" s="4"/>
      <c r="AD24" s="4"/>
      <c r="AE24" s="4"/>
      <c r="AF24" s="4"/>
      <c r="AG24" s="4"/>
      <c r="AI24" s="4"/>
      <c r="AJ24" s="4"/>
      <c r="AK24" s="4"/>
      <c r="AL24" s="4"/>
    </row>
    <row r="25" spans="1:49" ht="15.75" thickBot="1" x14ac:dyDescent="0.3">
      <c r="A25" s="45"/>
      <c r="B25" s="46"/>
      <c r="C25" s="45"/>
      <c r="D25" s="62"/>
      <c r="E25" s="15"/>
      <c r="F25" s="15"/>
      <c r="G25" s="15"/>
      <c r="H25" s="44"/>
      <c r="I25" s="15"/>
      <c r="J25" s="15"/>
      <c r="K25" s="15"/>
      <c r="L25" s="15"/>
      <c r="M25" s="15"/>
      <c r="N25" s="15"/>
      <c r="O25" s="15"/>
      <c r="P25" s="15"/>
      <c r="Q25" s="15"/>
      <c r="R25" s="15"/>
      <c r="Y25" s="2"/>
      <c r="Z25" s="2"/>
    </row>
    <row r="26" spans="1:49" ht="42.6" customHeight="1" thickBot="1" x14ac:dyDescent="0.3">
      <c r="A26" s="155" t="s">
        <v>107</v>
      </c>
      <c r="B26" s="260" t="s">
        <v>88</v>
      </c>
      <c r="C26" s="274">
        <f>C20-(C21+C22+C23)-C24</f>
        <v>0</v>
      </c>
      <c r="D26" s="275">
        <f t="shared" ref="D26:Q26" si="1">D20-(D21+D22+D23)-D24</f>
        <v>0</v>
      </c>
      <c r="E26" s="276">
        <f t="shared" si="1"/>
        <v>0</v>
      </c>
      <c r="F26" s="276">
        <f t="shared" si="1"/>
        <v>0</v>
      </c>
      <c r="G26" s="277">
        <f t="shared" si="1"/>
        <v>0</v>
      </c>
      <c r="H26" s="278">
        <f t="shared" si="1"/>
        <v>0</v>
      </c>
      <c r="I26" s="275">
        <f t="shared" si="1"/>
        <v>0</v>
      </c>
      <c r="J26" s="276">
        <f t="shared" si="1"/>
        <v>0</v>
      </c>
      <c r="K26" s="276">
        <f t="shared" si="1"/>
        <v>0</v>
      </c>
      <c r="L26" s="277">
        <f t="shared" si="1"/>
        <v>0</v>
      </c>
      <c r="M26" s="278">
        <f t="shared" si="1"/>
        <v>0</v>
      </c>
      <c r="N26" s="275">
        <f t="shared" si="1"/>
        <v>0</v>
      </c>
      <c r="O26" s="276">
        <f t="shared" si="1"/>
        <v>0</v>
      </c>
      <c r="P26" s="276">
        <f t="shared" si="1"/>
        <v>0</v>
      </c>
      <c r="Q26" s="279">
        <f t="shared" si="1"/>
        <v>0</v>
      </c>
      <c r="Y26" s="2"/>
      <c r="Z26" s="2"/>
    </row>
    <row r="27" spans="1:49" ht="15.75" thickBot="1" x14ac:dyDescent="0.3">
      <c r="A27" s="156"/>
      <c r="B27" s="157"/>
      <c r="C27" s="156"/>
      <c r="D27" s="156"/>
      <c r="E27" s="156"/>
      <c r="F27" s="156"/>
      <c r="G27" s="156"/>
      <c r="H27" s="158"/>
      <c r="I27" s="156"/>
      <c r="J27" s="156"/>
      <c r="K27" s="156"/>
      <c r="L27" s="156"/>
      <c r="M27" s="156"/>
      <c r="N27" s="156"/>
      <c r="O27" s="156"/>
      <c r="P27" s="156"/>
      <c r="Q27" s="156"/>
      <c r="Y27" s="2"/>
      <c r="Z27" s="2"/>
    </row>
    <row r="28" spans="1:49" ht="45" customHeight="1" thickBot="1" x14ac:dyDescent="0.3">
      <c r="A28" s="155" t="s">
        <v>104</v>
      </c>
      <c r="B28" s="159"/>
      <c r="C28" s="160" t="str">
        <f>IF(SUM(C18:C24)&gt;0,"Проверка пройдена","Заполните данные в балансе")</f>
        <v>Проверка пройдена</v>
      </c>
      <c r="D28" s="161" t="str">
        <f t="shared" ref="D28:Q28" si="2">IF(SUM(D18:D24)&gt;0,"Проверка пройдена","Заполните данные в балансе")</f>
        <v>Проверка пройдена</v>
      </c>
      <c r="E28" s="162" t="str">
        <f t="shared" si="2"/>
        <v>Проверка пройдена</v>
      </c>
      <c r="F28" s="162" t="str">
        <f t="shared" si="2"/>
        <v>Проверка пройдена</v>
      </c>
      <c r="G28" s="172" t="str">
        <f t="shared" si="2"/>
        <v>Проверка пройдена</v>
      </c>
      <c r="H28" s="160" t="str">
        <f t="shared" si="2"/>
        <v>Проверка пройдена</v>
      </c>
      <c r="I28" s="161" t="str">
        <f t="shared" si="2"/>
        <v>Проверка пройдена</v>
      </c>
      <c r="J28" s="162" t="str">
        <f t="shared" si="2"/>
        <v>Проверка пройдена</v>
      </c>
      <c r="K28" s="162" t="str">
        <f t="shared" si="2"/>
        <v>Проверка пройдена</v>
      </c>
      <c r="L28" s="172" t="str">
        <f t="shared" si="2"/>
        <v>Проверка пройдена</v>
      </c>
      <c r="M28" s="160" t="str">
        <f t="shared" si="2"/>
        <v>Проверка пройдена</v>
      </c>
      <c r="N28" s="161" t="str">
        <f t="shared" si="2"/>
        <v>Проверка пройдена</v>
      </c>
      <c r="O28" s="162" t="str">
        <f t="shared" si="2"/>
        <v>Проверка пройдена</v>
      </c>
      <c r="P28" s="162" t="str">
        <f t="shared" si="2"/>
        <v>Проверка пройдена</v>
      </c>
      <c r="Q28" s="163" t="str">
        <f t="shared" si="2"/>
        <v>Проверка пройдена</v>
      </c>
      <c r="Y28" s="2"/>
      <c r="Z28" s="2"/>
    </row>
    <row r="29" spans="1:49" x14ac:dyDescent="0.25">
      <c r="D29" s="2"/>
      <c r="H29" s="2"/>
      <c r="Y29" s="2"/>
      <c r="Z29" s="2"/>
    </row>
    <row r="31" spans="1:49" x14ac:dyDescent="0.25">
      <c r="A31" s="148" t="s">
        <v>96</v>
      </c>
      <c r="B31" s="17"/>
      <c r="C31" s="4"/>
      <c r="D31" s="4"/>
      <c r="E31" s="4"/>
      <c r="F31" s="4"/>
      <c r="G31" s="4"/>
      <c r="H31" s="6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U31" s="4"/>
      <c r="AV31" s="4"/>
      <c r="AW31" s="4"/>
    </row>
    <row r="32" spans="1:49" x14ac:dyDescent="0.25">
      <c r="A32" s="149" t="s">
        <v>101</v>
      </c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64" ht="15.75" thickBot="1" x14ac:dyDescent="0.3">
      <c r="A33" s="149" t="s">
        <v>105</v>
      </c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64" ht="14.45" customHeight="1" x14ac:dyDescent="0.25">
      <c r="A34" s="416" t="s">
        <v>14</v>
      </c>
      <c r="B34" s="418" t="s">
        <v>35</v>
      </c>
      <c r="C34" s="407" t="str">
        <f>(YEAR(Test_date)-7)&amp;" год"</f>
        <v>2014 год</v>
      </c>
      <c r="D34" s="420" t="str">
        <f>C34</f>
        <v>2014 год</v>
      </c>
      <c r="E34" s="414"/>
      <c r="F34" s="414"/>
      <c r="G34" s="421"/>
      <c r="H34" s="407" t="str">
        <f>(LEFT(C34,4)+1)&amp;" год"</f>
        <v>2015 год</v>
      </c>
      <c r="I34" s="420" t="str">
        <f>H34</f>
        <v>2015 год</v>
      </c>
      <c r="J34" s="414"/>
      <c r="K34" s="414"/>
      <c r="L34" s="421"/>
      <c r="M34" s="407" t="str">
        <f>(LEFT(H34,4)+1)&amp;" год"</f>
        <v>2016 год</v>
      </c>
      <c r="N34" s="420" t="str">
        <f>M34</f>
        <v>2016 год</v>
      </c>
      <c r="O34" s="414"/>
      <c r="P34" s="414"/>
      <c r="Q34" s="421"/>
      <c r="R34" s="407" t="str">
        <f>(LEFT(M34,4)+1)&amp;" год"</f>
        <v>2017 год</v>
      </c>
      <c r="S34" s="420" t="str">
        <f>R34</f>
        <v>2017 год</v>
      </c>
      <c r="T34" s="414"/>
      <c r="U34" s="414"/>
      <c r="V34" s="421"/>
      <c r="W34" s="407" t="str">
        <f>(LEFT(R34,4)+1)&amp;" год"</f>
        <v>2018 год</v>
      </c>
      <c r="X34" s="420" t="str">
        <f>W34</f>
        <v>2018 год</v>
      </c>
      <c r="Y34" s="414"/>
      <c r="Z34" s="414"/>
      <c r="AA34" s="421"/>
      <c r="AB34" s="407" t="str">
        <f>(LEFT(W34,4)+1)&amp;" год"</f>
        <v>2019 год</v>
      </c>
      <c r="AC34" s="420" t="str">
        <f>AB34</f>
        <v>2019 год</v>
      </c>
      <c r="AD34" s="414"/>
      <c r="AE34" s="414"/>
      <c r="AF34" s="421"/>
      <c r="AG34" s="407" t="str">
        <f>(LEFT(AB34,4)+1)&amp;" год"</f>
        <v>2020 год</v>
      </c>
      <c r="AH34" s="420" t="str">
        <f>AG34</f>
        <v>2020 год</v>
      </c>
      <c r="AI34" s="414"/>
      <c r="AJ34" s="414"/>
      <c r="AK34" s="415"/>
      <c r="AL34" s="4"/>
      <c r="AM34" s="4"/>
      <c r="AT34" s="6"/>
      <c r="AU34" s="6"/>
      <c r="AV34" s="6"/>
      <c r="AW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1:64" ht="15.75" thickBot="1" x14ac:dyDescent="0.3">
      <c r="A35" s="417"/>
      <c r="B35" s="419"/>
      <c r="C35" s="408"/>
      <c r="D35" s="364" t="s">
        <v>0</v>
      </c>
      <c r="E35" s="365" t="s">
        <v>1</v>
      </c>
      <c r="F35" s="365" t="s">
        <v>2</v>
      </c>
      <c r="G35" s="384" t="s">
        <v>3</v>
      </c>
      <c r="H35" s="408"/>
      <c r="I35" s="383" t="s">
        <v>0</v>
      </c>
      <c r="J35" s="365" t="s">
        <v>1</v>
      </c>
      <c r="K35" s="365" t="s">
        <v>2</v>
      </c>
      <c r="L35" s="384" t="s">
        <v>3</v>
      </c>
      <c r="M35" s="408"/>
      <c r="N35" s="383" t="s">
        <v>0</v>
      </c>
      <c r="O35" s="365" t="s">
        <v>1</v>
      </c>
      <c r="P35" s="365" t="s">
        <v>2</v>
      </c>
      <c r="Q35" s="384" t="s">
        <v>3</v>
      </c>
      <c r="R35" s="408"/>
      <c r="S35" s="383" t="s">
        <v>0</v>
      </c>
      <c r="T35" s="365" t="s">
        <v>1</v>
      </c>
      <c r="U35" s="365" t="s">
        <v>2</v>
      </c>
      <c r="V35" s="366" t="s">
        <v>3</v>
      </c>
      <c r="W35" s="408"/>
      <c r="X35" s="383" t="s">
        <v>0</v>
      </c>
      <c r="Y35" s="365" t="s">
        <v>1</v>
      </c>
      <c r="Z35" s="365" t="s">
        <v>2</v>
      </c>
      <c r="AA35" s="384" t="s">
        <v>3</v>
      </c>
      <c r="AB35" s="408"/>
      <c r="AC35" s="383" t="s">
        <v>0</v>
      </c>
      <c r="AD35" s="365" t="s">
        <v>1</v>
      </c>
      <c r="AE35" s="365" t="s">
        <v>2</v>
      </c>
      <c r="AF35" s="384" t="s">
        <v>3</v>
      </c>
      <c r="AG35" s="408"/>
      <c r="AH35" s="364" t="s">
        <v>0</v>
      </c>
      <c r="AI35" s="365" t="s">
        <v>1</v>
      </c>
      <c r="AJ35" s="365" t="s">
        <v>2</v>
      </c>
      <c r="AK35" s="366" t="s">
        <v>3</v>
      </c>
      <c r="AL35" s="4"/>
      <c r="AM35" s="4"/>
      <c r="AT35" s="6"/>
      <c r="AU35" s="6"/>
      <c r="AV35" s="6"/>
      <c r="AW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64" s="48" customFormat="1" ht="15.75" thickBot="1" x14ac:dyDescent="0.3">
      <c r="A36" s="131" t="s">
        <v>7</v>
      </c>
      <c r="B36" s="66" t="s">
        <v>88</v>
      </c>
      <c r="C36" s="50">
        <f>G36</f>
        <v>1.6</v>
      </c>
      <c r="D36" s="59">
        <v>1.7490000000000001</v>
      </c>
      <c r="E36" s="60">
        <v>1.702</v>
      </c>
      <c r="F36" s="60">
        <v>1.659</v>
      </c>
      <c r="G36" s="117">
        <v>1.6</v>
      </c>
      <c r="H36" s="51">
        <f>L36</f>
        <v>1.6</v>
      </c>
      <c r="I36" s="59">
        <v>1.6</v>
      </c>
      <c r="J36" s="60">
        <v>1.59</v>
      </c>
      <c r="K36" s="60">
        <v>1.6</v>
      </c>
      <c r="L36" s="117">
        <v>1.6</v>
      </c>
      <c r="M36" s="51">
        <f>Q36</f>
        <v>1.6</v>
      </c>
      <c r="N36" s="59">
        <v>1.6</v>
      </c>
      <c r="O36" s="60">
        <v>1.6</v>
      </c>
      <c r="P36" s="60">
        <v>1.6</v>
      </c>
      <c r="Q36" s="117">
        <v>1.6</v>
      </c>
      <c r="R36" s="51">
        <f>V36</f>
        <v>1.6</v>
      </c>
      <c r="S36" s="59">
        <v>1.6</v>
      </c>
      <c r="T36" s="60">
        <v>1.6</v>
      </c>
      <c r="U36" s="60">
        <v>1.6</v>
      </c>
      <c r="V36" s="117">
        <v>1.6</v>
      </c>
      <c r="W36" s="51">
        <f>AA36</f>
        <v>1.6020000000000001</v>
      </c>
      <c r="X36" s="267">
        <f>D24</f>
        <v>1.599</v>
      </c>
      <c r="Y36" s="267">
        <f>E24</f>
        <v>1.6</v>
      </c>
      <c r="Z36" s="267">
        <f>F24</f>
        <v>1.6020000000000001</v>
      </c>
      <c r="AA36" s="267">
        <f>G24</f>
        <v>1.6020000000000001</v>
      </c>
      <c r="AB36" s="51">
        <f>AF36</f>
        <v>1.631</v>
      </c>
      <c r="AC36" s="267">
        <f>I24</f>
        <v>1.6080000000000001</v>
      </c>
      <c r="AD36" s="267">
        <f>J24</f>
        <v>1.6160000000000001</v>
      </c>
      <c r="AE36" s="267">
        <f>K24</f>
        <v>1.6240000000000001</v>
      </c>
      <c r="AF36" s="267">
        <f>L24</f>
        <v>1.631</v>
      </c>
      <c r="AG36" s="51">
        <f>AK36</f>
        <v>1.734</v>
      </c>
      <c r="AH36" s="268">
        <f>N24</f>
        <v>1.6779999999999999</v>
      </c>
      <c r="AI36" s="267">
        <f>O24</f>
        <v>1.6839999999999999</v>
      </c>
      <c r="AJ36" s="267">
        <f>P24</f>
        <v>1.7010000000000001</v>
      </c>
      <c r="AK36" s="269">
        <f>Q24</f>
        <v>1.734</v>
      </c>
      <c r="AL36" s="47"/>
      <c r="AM36" s="47"/>
      <c r="AT36" s="49"/>
      <c r="AU36" s="49"/>
      <c r="AV36" s="49"/>
      <c r="AW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</row>
    <row r="37" spans="1:64" s="10" customFormat="1" ht="15.75" thickBot="1" x14ac:dyDescent="0.3">
      <c r="A37" s="63"/>
      <c r="B37" s="64"/>
      <c r="C37" s="29"/>
      <c r="D37" s="28"/>
      <c r="E37" s="28"/>
      <c r="F37" s="28"/>
      <c r="G37" s="28"/>
      <c r="H37" s="29"/>
      <c r="I37" s="28"/>
      <c r="J37" s="28"/>
      <c r="K37" s="28"/>
      <c r="L37" s="28"/>
      <c r="M37" s="29"/>
      <c r="N37" s="28"/>
      <c r="O37" s="28"/>
      <c r="P37" s="28"/>
      <c r="Q37" s="28"/>
      <c r="R37" s="29"/>
      <c r="S37" s="28"/>
      <c r="T37" s="28"/>
      <c r="U37" s="28"/>
      <c r="V37" s="28"/>
      <c r="W37" s="29"/>
      <c r="X37" s="28"/>
      <c r="Y37" s="28"/>
      <c r="Z37" s="28"/>
      <c r="AA37" s="28"/>
      <c r="AB37" s="29"/>
      <c r="AC37" s="28"/>
      <c r="AD37" s="28"/>
      <c r="AE37" s="28"/>
      <c r="AF37" s="28"/>
      <c r="AG37" s="29"/>
      <c r="AH37" s="28"/>
      <c r="AI37" s="28"/>
      <c r="AJ37" s="28"/>
      <c r="AK37" s="28"/>
    </row>
    <row r="38" spans="1:64" s="10" customFormat="1" ht="59.1" customHeight="1" thickBot="1" x14ac:dyDescent="0.3">
      <c r="A38" s="155" t="s">
        <v>106</v>
      </c>
      <c r="B38" s="164"/>
      <c r="C38" s="170" t="str">
        <f>IF(C36&gt;0,"Проверка пройдена","Заполните данные в запасах (Таблица 3)")</f>
        <v>Проверка пройдена</v>
      </c>
      <c r="D38" s="171" t="str">
        <f>IF(D36&gt;0,"Проверка пройдена","Заполните данные в запасах (Таблица 3)")</f>
        <v>Проверка пройдена</v>
      </c>
      <c r="E38" s="162" t="str">
        <f>IF(E36&gt;0,"Проверка пройдена","Заполните данные в запасах (Таблица 3)")</f>
        <v>Проверка пройдена</v>
      </c>
      <c r="F38" s="162" t="str">
        <f t="shared" ref="F38:V38" si="3">IF(F36&gt;0,"Проверка пройдена","Заполните данные в запасах (Таблица 3)")</f>
        <v>Проверка пройдена</v>
      </c>
      <c r="G38" s="172" t="str">
        <f t="shared" si="3"/>
        <v>Проверка пройдена</v>
      </c>
      <c r="H38" s="160" t="str">
        <f t="shared" si="3"/>
        <v>Проверка пройдена</v>
      </c>
      <c r="I38" s="161" t="str">
        <f t="shared" si="3"/>
        <v>Проверка пройдена</v>
      </c>
      <c r="J38" s="162" t="str">
        <f t="shared" si="3"/>
        <v>Проверка пройдена</v>
      </c>
      <c r="K38" s="162" t="str">
        <f t="shared" si="3"/>
        <v>Проверка пройдена</v>
      </c>
      <c r="L38" s="172" t="str">
        <f t="shared" si="3"/>
        <v>Проверка пройдена</v>
      </c>
      <c r="M38" s="160" t="str">
        <f t="shared" si="3"/>
        <v>Проверка пройдена</v>
      </c>
      <c r="N38" s="161" t="str">
        <f t="shared" si="3"/>
        <v>Проверка пройдена</v>
      </c>
      <c r="O38" s="162" t="str">
        <f t="shared" si="3"/>
        <v>Проверка пройдена</v>
      </c>
      <c r="P38" s="162" t="str">
        <f t="shared" si="3"/>
        <v>Проверка пройдена</v>
      </c>
      <c r="Q38" s="172" t="str">
        <f t="shared" si="3"/>
        <v>Проверка пройдена</v>
      </c>
      <c r="R38" s="160" t="str">
        <f t="shared" si="3"/>
        <v>Проверка пройдена</v>
      </c>
      <c r="S38" s="161" t="str">
        <f t="shared" si="3"/>
        <v>Проверка пройдена</v>
      </c>
      <c r="T38" s="162" t="str">
        <f t="shared" si="3"/>
        <v>Проверка пройдена</v>
      </c>
      <c r="U38" s="162" t="str">
        <f t="shared" si="3"/>
        <v>Проверка пройдена</v>
      </c>
      <c r="V38" s="163" t="str">
        <f t="shared" si="3"/>
        <v>Проверка пройдена</v>
      </c>
      <c r="W38" s="29"/>
      <c r="X38" s="28"/>
      <c r="Y38" s="28"/>
      <c r="Z38" s="28"/>
      <c r="AA38" s="28"/>
      <c r="AB38" s="29"/>
      <c r="AC38" s="28"/>
      <c r="AD38" s="28"/>
      <c r="AE38" s="28"/>
      <c r="AF38" s="28"/>
      <c r="AG38" s="29"/>
      <c r="AH38" s="28"/>
      <c r="AI38" s="28"/>
      <c r="AJ38" s="28"/>
      <c r="AK38" s="28"/>
    </row>
    <row r="39" spans="1:64" x14ac:dyDescent="0.25">
      <c r="A39" s="1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4"/>
    </row>
    <row r="40" spans="1:64" s="10" customFormat="1" x14ac:dyDescent="0.25">
      <c r="A40" s="148" t="s">
        <v>97</v>
      </c>
      <c r="B40" s="126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29"/>
      <c r="X40" s="28"/>
      <c r="Y40" s="28"/>
      <c r="Z40" s="28"/>
      <c r="AA40" s="28"/>
      <c r="AB40" s="29"/>
      <c r="AC40" s="28"/>
      <c r="AD40" s="28"/>
      <c r="AE40" s="28"/>
      <c r="AF40" s="28"/>
      <c r="AG40" s="29"/>
      <c r="AH40" s="28"/>
      <c r="AI40" s="28"/>
      <c r="AJ40" s="28"/>
      <c r="AK40" s="28"/>
    </row>
    <row r="41" spans="1:64" ht="15.75" thickBot="1" x14ac:dyDescent="0.3">
      <c r="A41" s="149" t="s">
        <v>64</v>
      </c>
      <c r="B41" s="99"/>
      <c r="C41" s="56"/>
      <c r="D41" s="56"/>
      <c r="E41" s="56"/>
      <c r="F41" s="56"/>
      <c r="G41" s="56"/>
      <c r="H41" s="5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4"/>
    </row>
    <row r="42" spans="1:64" ht="14.45" customHeight="1" x14ac:dyDescent="0.25">
      <c r="A42" s="409" t="s">
        <v>14</v>
      </c>
      <c r="B42" s="411" t="s">
        <v>35</v>
      </c>
      <c r="C42" s="407" t="str">
        <f>YEAR(Test_date)&amp;" год"</f>
        <v>2021 год</v>
      </c>
      <c r="D42" s="413" t="str">
        <f>C42</f>
        <v>2021 год</v>
      </c>
      <c r="E42" s="414"/>
      <c r="F42" s="414"/>
      <c r="G42" s="415"/>
      <c r="H42" s="406" t="s">
        <v>60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64" ht="15.75" thickBot="1" x14ac:dyDescent="0.3">
      <c r="A43" s="410"/>
      <c r="B43" s="412"/>
      <c r="C43" s="408"/>
      <c r="D43" s="383" t="s">
        <v>0</v>
      </c>
      <c r="E43" s="365" t="s">
        <v>1</v>
      </c>
      <c r="F43" s="365" t="s">
        <v>2</v>
      </c>
      <c r="G43" s="366" t="s">
        <v>3</v>
      </c>
      <c r="H43" s="406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64" x14ac:dyDescent="0.25">
      <c r="A44" s="128" t="s">
        <v>71</v>
      </c>
      <c r="B44" s="118" t="s">
        <v>102</v>
      </c>
      <c r="C44" s="121">
        <f>SUM(D44:G44)</f>
        <v>1</v>
      </c>
      <c r="D44" s="285">
        <v>0.25</v>
      </c>
      <c r="E44" s="286">
        <v>0.25</v>
      </c>
      <c r="F44" s="286">
        <v>0.25</v>
      </c>
      <c r="G44" s="287">
        <v>0.25</v>
      </c>
      <c r="H44" s="266" t="str">
        <f>IF(AND(SUM(D44:G44)&gt;0,C44&lt;&gt;1),"Сумма значений 1,2,3,4 кварталов должна равняться '1'","Проверка пройдена")</f>
        <v>Проверка пройдена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64" ht="15.75" thickBot="1" x14ac:dyDescent="0.3">
      <c r="A45" s="129" t="s">
        <v>5</v>
      </c>
      <c r="B45" s="113" t="s">
        <v>102</v>
      </c>
      <c r="C45" s="52">
        <f>SUM(D45:G45)</f>
        <v>0</v>
      </c>
      <c r="D45" s="288">
        <v>0</v>
      </c>
      <c r="E45" s="289">
        <v>0</v>
      </c>
      <c r="F45" s="289">
        <v>0</v>
      </c>
      <c r="G45" s="290">
        <v>0</v>
      </c>
      <c r="H45" s="266" t="str">
        <f>IF(AND(SUM(D45:G45)&gt;0,C45&lt;&gt;1),"Сумма значений 1,2,3,4 кварталов должна равняться '1'","Проверка пройдена")</f>
        <v>Проверка пройдена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64" x14ac:dyDescent="0.25">
      <c r="A46" s="87"/>
      <c r="B46" s="88"/>
      <c r="C46" s="89"/>
      <c r="D46" s="90"/>
      <c r="E46" s="90"/>
      <c r="F46" s="90"/>
      <c r="G46" s="90"/>
      <c r="H46" s="9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64" s="10" customFormat="1" x14ac:dyDescent="0.25">
      <c r="A47" s="148" t="s">
        <v>98</v>
      </c>
      <c r="B47" s="126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29"/>
      <c r="X47" s="28"/>
      <c r="Y47" s="28"/>
      <c r="Z47" s="28"/>
      <c r="AA47" s="28"/>
      <c r="AB47" s="29"/>
      <c r="AC47" s="28"/>
      <c r="AD47" s="28"/>
      <c r="AE47" s="28"/>
      <c r="AF47" s="28"/>
      <c r="AG47" s="29"/>
      <c r="AH47" s="28"/>
      <c r="AI47" s="28"/>
      <c r="AJ47" s="28"/>
      <c r="AK47" s="28"/>
    </row>
    <row r="48" spans="1:64" x14ac:dyDescent="0.25">
      <c r="A48" s="149" t="s">
        <v>91</v>
      </c>
      <c r="B48" s="99"/>
      <c r="C48" s="56"/>
      <c r="D48" s="56"/>
      <c r="E48" s="56"/>
      <c r="F48" s="56"/>
      <c r="G48" s="56"/>
      <c r="H48" s="5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4"/>
    </row>
    <row r="49" spans="1:49" x14ac:dyDescent="0.25">
      <c r="A49" s="149" t="s">
        <v>108</v>
      </c>
      <c r="B49" s="99"/>
      <c r="C49" s="56"/>
      <c r="D49" s="56"/>
      <c r="E49" s="56"/>
      <c r="F49" s="56"/>
      <c r="G49" s="56"/>
      <c r="H49" s="5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4"/>
    </row>
    <row r="50" spans="1:49" ht="15.75" thickBot="1" x14ac:dyDescent="0.3">
      <c r="A50" s="149" t="s">
        <v>109</v>
      </c>
      <c r="B50" s="99"/>
      <c r="C50" s="56"/>
      <c r="D50" s="56"/>
      <c r="E50" s="56"/>
      <c r="F50" s="56"/>
      <c r="G50" s="56"/>
      <c r="H50" s="5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4"/>
    </row>
    <row r="51" spans="1:49" x14ac:dyDescent="0.25">
      <c r="A51" s="114" t="s">
        <v>12</v>
      </c>
      <c r="B51" s="116" t="s">
        <v>35</v>
      </c>
      <c r="C51" s="379" t="str">
        <f>(YEAR(Test_date)-3)&amp;" год"</f>
        <v>2018 год</v>
      </c>
      <c r="D51" s="380" t="str">
        <f>(LEFT(C51,4)+1)&amp;" год"</f>
        <v>2019 год</v>
      </c>
      <c r="E51" s="381" t="str">
        <f>(LEFT(D51,4)+1)&amp;" год"</f>
        <v>2020 год</v>
      </c>
      <c r="F51" s="379" t="str">
        <f>(LEFT(E51,4)+1)&amp;" год"</f>
        <v>2021 год</v>
      </c>
      <c r="G51" s="380" t="str">
        <f>(LEFT(F51,4)+1)&amp;" год"</f>
        <v>2022 год</v>
      </c>
      <c r="H51" s="382" t="str">
        <f>(LEFT(G51,4)+1)&amp;" год"</f>
        <v>2023 год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4"/>
    </row>
    <row r="52" spans="1:49" ht="15.75" thickBot="1" x14ac:dyDescent="0.3">
      <c r="A52" s="115" t="s">
        <v>87</v>
      </c>
      <c r="B52" s="120" t="s">
        <v>89</v>
      </c>
      <c r="C52" s="59">
        <v>1015.79</v>
      </c>
      <c r="D52" s="60">
        <v>1009.924</v>
      </c>
      <c r="E52" s="117">
        <v>1001.78</v>
      </c>
      <c r="F52" s="59">
        <f>E52</f>
        <v>1001.78</v>
      </c>
      <c r="G52" s="60">
        <f>F52</f>
        <v>1001.78</v>
      </c>
      <c r="H52" s="61">
        <f>G52</f>
        <v>1001.78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4"/>
    </row>
    <row r="53" spans="1:49" x14ac:dyDescent="0.25">
      <c r="A53" s="93"/>
      <c r="B53" s="94"/>
      <c r="C53" s="97"/>
      <c r="D53" s="97"/>
      <c r="E53" s="97"/>
      <c r="F53" s="95"/>
      <c r="G53" s="96"/>
      <c r="H53" s="9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4"/>
    </row>
    <row r="54" spans="1:49" s="10" customFormat="1" x14ac:dyDescent="0.25">
      <c r="A54" s="148" t="s">
        <v>99</v>
      </c>
      <c r="B54" s="126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29"/>
      <c r="X54" s="28"/>
      <c r="Y54" s="28"/>
      <c r="Z54" s="28"/>
      <c r="AA54" s="28"/>
      <c r="AB54" s="29"/>
      <c r="AC54" s="28"/>
      <c r="AD54" s="28"/>
      <c r="AE54" s="28"/>
      <c r="AF54" s="28"/>
      <c r="AG54" s="29"/>
      <c r="AH54" s="28"/>
      <c r="AI54" s="28"/>
      <c r="AJ54" s="28"/>
      <c r="AK54" s="28"/>
    </row>
    <row r="55" spans="1:49" ht="15.75" thickBot="1" x14ac:dyDescent="0.3">
      <c r="A55" s="149" t="s">
        <v>110</v>
      </c>
      <c r="B55" s="99"/>
      <c r="C55" s="56"/>
      <c r="D55" s="56"/>
      <c r="E55" s="127"/>
      <c r="F55" s="56"/>
      <c r="G55" s="56"/>
      <c r="H55" s="5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4"/>
    </row>
    <row r="56" spans="1:49" ht="15.75" thickBot="1" x14ac:dyDescent="0.3">
      <c r="A56" s="103" t="s">
        <v>12</v>
      </c>
      <c r="B56" s="104" t="s">
        <v>35</v>
      </c>
      <c r="C56" s="103" t="str">
        <f>YEAR(Test_date)&amp;" год"</f>
        <v>2021 год</v>
      </c>
      <c r="D56" s="105" t="str">
        <f>(LEFT(C56,4)+1)&amp;" год"</f>
        <v>2022 год</v>
      </c>
      <c r="E56" s="106" t="str">
        <f>(LEFT(D56,4)+1)&amp;" год"</f>
        <v>2023 год</v>
      </c>
      <c r="F56" s="98"/>
      <c r="G56" s="98"/>
      <c r="H56" s="9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4"/>
    </row>
    <row r="57" spans="1:49" ht="30.75" thickBot="1" x14ac:dyDescent="0.3">
      <c r="A57" s="130" t="s">
        <v>115</v>
      </c>
      <c r="B57" s="119" t="s">
        <v>117</v>
      </c>
      <c r="C57" s="270">
        <f>IFERROR(((C21+H21+M21)/(C52+D52+E52))*1000,0)</f>
        <v>7.0394854622337819</v>
      </c>
      <c r="D57" s="271">
        <f>C57</f>
        <v>7.0394854622337819</v>
      </c>
      <c r="E57" s="272">
        <f>D57</f>
        <v>7.0394854622337819</v>
      </c>
      <c r="F57" s="96"/>
      <c r="G57" s="96"/>
      <c r="H57" s="9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4"/>
    </row>
    <row r="58" spans="1:49" x14ac:dyDescent="0.25">
      <c r="A58" s="8"/>
      <c r="B58" s="127"/>
      <c r="C58" s="8"/>
      <c r="D58" s="8"/>
      <c r="E58" s="8"/>
      <c r="F58" s="8"/>
      <c r="G58" s="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49" x14ac:dyDescent="0.25">
      <c r="A59" s="148" t="s">
        <v>100</v>
      </c>
      <c r="B59" s="127"/>
      <c r="C59" s="8"/>
      <c r="D59" s="8"/>
      <c r="E59" s="8"/>
      <c r="F59" s="8"/>
      <c r="G59" s="8"/>
      <c r="H59" s="8"/>
      <c r="I59" s="8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49" x14ac:dyDescent="0.25">
      <c r="A60" s="149" t="s">
        <v>111</v>
      </c>
      <c r="B60" s="127"/>
      <c r="C60" s="8"/>
      <c r="D60" s="8"/>
      <c r="E60" s="8"/>
      <c r="F60" s="8"/>
      <c r="G60" s="8"/>
      <c r="H60" s="8"/>
      <c r="I60" s="8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ht="15.75" thickBot="1" x14ac:dyDescent="0.3">
      <c r="A61" s="149" t="s">
        <v>112</v>
      </c>
      <c r="B61" s="127"/>
      <c r="C61" s="8"/>
      <c r="D61" s="8"/>
      <c r="E61" s="8"/>
      <c r="F61" s="8"/>
      <c r="G61" s="8"/>
      <c r="H61" s="8"/>
      <c r="I61" s="8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49" x14ac:dyDescent="0.25">
      <c r="A62" s="422" t="s">
        <v>19</v>
      </c>
      <c r="B62" s="424" t="s">
        <v>35</v>
      </c>
      <c r="C62" s="426" t="str">
        <f>YEAR(Test_date)&amp;" год"</f>
        <v>2021 год</v>
      </c>
      <c r="D62" s="427"/>
      <c r="E62" s="427"/>
      <c r="F62" s="428"/>
      <c r="G62" s="429" t="str">
        <f>(LEFT(C62,4)+1)&amp;" год"</f>
        <v>2022 год</v>
      </c>
      <c r="H62" s="430"/>
      <c r="I62" s="430"/>
      <c r="J62" s="431"/>
      <c r="K62" s="429" t="str">
        <f>(LEFT(G62,4)+1)&amp;" год"</f>
        <v>2023 год</v>
      </c>
      <c r="L62" s="430"/>
      <c r="M62" s="430"/>
      <c r="N62" s="43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49" ht="15.75" thickBot="1" x14ac:dyDescent="0.3">
      <c r="A63" s="423"/>
      <c r="B63" s="425"/>
      <c r="C63" s="373">
        <v>1</v>
      </c>
      <c r="D63" s="374">
        <v>2</v>
      </c>
      <c r="E63" s="374">
        <v>3</v>
      </c>
      <c r="F63" s="375">
        <v>4</v>
      </c>
      <c r="G63" s="376" t="s">
        <v>0</v>
      </c>
      <c r="H63" s="377" t="s">
        <v>1</v>
      </c>
      <c r="I63" s="377" t="s">
        <v>2</v>
      </c>
      <c r="J63" s="378" t="s">
        <v>3</v>
      </c>
      <c r="K63" s="376" t="s">
        <v>0</v>
      </c>
      <c r="L63" s="377" t="s">
        <v>1</v>
      </c>
      <c r="M63" s="377" t="s">
        <v>2</v>
      </c>
      <c r="N63" s="378" t="s">
        <v>3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x14ac:dyDescent="0.25">
      <c r="A64" s="298" t="s">
        <v>20</v>
      </c>
      <c r="B64" s="165"/>
      <c r="C64" s="299"/>
      <c r="D64" s="299"/>
      <c r="E64" s="299"/>
      <c r="F64" s="299"/>
      <c r="G64" s="299"/>
      <c r="H64" s="299"/>
      <c r="I64" s="299"/>
      <c r="J64" s="299"/>
      <c r="K64" s="299"/>
      <c r="L64" s="299"/>
      <c r="M64" s="299"/>
      <c r="N64" s="300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x14ac:dyDescent="0.25">
      <c r="A65" s="301" t="s">
        <v>21</v>
      </c>
      <c r="B65" s="262" t="s">
        <v>88</v>
      </c>
      <c r="C65" s="151">
        <f>'2. Прогноз. Без корректировки'!C15</f>
        <v>1.77</v>
      </c>
      <c r="D65" s="152">
        <f>'2. Прогноз. Без корректировки'!D15</f>
        <v>1.7270000000000001</v>
      </c>
      <c r="E65" s="152">
        <f>'2. Прогноз. Без корректировки'!E15</f>
        <v>1.73</v>
      </c>
      <c r="F65" s="153">
        <f>'2. Прогноз. Без корректировки'!F15</f>
        <v>1.748</v>
      </c>
      <c r="G65" s="151">
        <f>'2. Прогноз. Без корректировки'!H15</f>
        <v>1.77</v>
      </c>
      <c r="H65" s="152">
        <f>'2. Прогноз. Без корректировки'!I15</f>
        <v>1.7270000000000001</v>
      </c>
      <c r="I65" s="152">
        <f>'2. Прогноз. Без корректировки'!J15</f>
        <v>1.73</v>
      </c>
      <c r="J65" s="153">
        <f>'2. Прогноз. Без корректировки'!K15</f>
        <v>1.748</v>
      </c>
      <c r="K65" s="151">
        <f>'2. Прогноз. Без корректировки'!M15</f>
        <v>1.77</v>
      </c>
      <c r="L65" s="152">
        <f>'2. Прогноз. Без корректировки'!N15</f>
        <v>1.7270000000000001</v>
      </c>
      <c r="M65" s="152">
        <f>'2. Прогноз. Без корректировки'!O15</f>
        <v>1.73</v>
      </c>
      <c r="N65" s="153">
        <f>'2. Прогноз. Без корректировки'!P15</f>
        <v>1.748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x14ac:dyDescent="0.25">
      <c r="A66" s="301" t="s">
        <v>22</v>
      </c>
      <c r="B66" s="262" t="s">
        <v>88</v>
      </c>
      <c r="C66" s="38">
        <f>'2. Прогноз. Без корректировки'!C24</f>
        <v>0</v>
      </c>
      <c r="D66" s="35">
        <f>'2. Прогноз. Без корректировки'!D24</f>
        <v>0</v>
      </c>
      <c r="E66" s="35">
        <f>'2. Прогноз. Без корректировки'!E24</f>
        <v>0</v>
      </c>
      <c r="F66" s="37">
        <f>'2. Прогноз. Без корректировки'!F24</f>
        <v>0</v>
      </c>
      <c r="G66" s="38">
        <f>'2. Прогноз. Без корректировки'!H24</f>
        <v>0</v>
      </c>
      <c r="H66" s="35">
        <f>'2. Прогноз. Без корректировки'!I24</f>
        <v>0</v>
      </c>
      <c r="I66" s="35">
        <f>'2. Прогноз. Без корректировки'!J24</f>
        <v>0</v>
      </c>
      <c r="J66" s="37">
        <f>'2. Прогноз. Без корректировки'!K24</f>
        <v>0</v>
      </c>
      <c r="K66" s="38">
        <f>'2. Прогноз. Без корректировки'!M24</f>
        <v>0</v>
      </c>
      <c r="L66" s="35">
        <f>'2. Прогноз. Без корректировки'!N24</f>
        <v>0</v>
      </c>
      <c r="M66" s="35">
        <f>'2. Прогноз. Без корректировки'!O24</f>
        <v>0</v>
      </c>
      <c r="N66" s="37">
        <f>'2. Прогноз. Без корректировки'!P24</f>
        <v>0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s="12" customFormat="1" ht="15.75" customHeight="1" x14ac:dyDescent="0.25">
      <c r="A67" s="301" t="s">
        <v>23</v>
      </c>
      <c r="B67" s="262" t="s">
        <v>88</v>
      </c>
      <c r="C67" s="38">
        <f>'2. Прогноз. Без корректировки'!C28</f>
        <v>1.778</v>
      </c>
      <c r="D67" s="35">
        <f>'2. Прогноз. Без корректировки'!D28+C81</f>
        <v>1.778</v>
      </c>
      <c r="E67" s="35">
        <f>'2. Прогноз. Без корректировки'!E28+D81</f>
        <v>1.788</v>
      </c>
      <c r="F67" s="37">
        <f>'2. Прогноз. Без корректировки'!F28+E81</f>
        <v>1.8140000000000001</v>
      </c>
      <c r="G67" s="38">
        <f>'2. Прогноз. Без корректировки'!H28+F81</f>
        <v>1.8580000000000001</v>
      </c>
      <c r="H67" s="35">
        <f>'2. Прогноз. Без корректировки'!I28+G81</f>
        <v>1.8580000000000001</v>
      </c>
      <c r="I67" s="35">
        <f>'2. Прогноз. Без корректировки'!J28+H81</f>
        <v>1.8680000000000001</v>
      </c>
      <c r="J67" s="37">
        <f>'2. Прогноз. Без корректировки'!K28+I81</f>
        <v>1.8959999999999999</v>
      </c>
      <c r="K67" s="38">
        <f>'2. Прогноз. Без корректировки'!M28+J81</f>
        <v>1.94</v>
      </c>
      <c r="L67" s="35">
        <f>'2. Прогноз. Без корректировки'!N28+K81</f>
        <v>1.94</v>
      </c>
      <c r="M67" s="35">
        <f>'2. Прогноз. Без корректировки'!O28+L81</f>
        <v>1.95</v>
      </c>
      <c r="N67" s="37">
        <f>'2. Прогноз. Без корректировки'!P28+M81</f>
        <v>1.98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</row>
    <row r="68" spans="1:49" ht="18" customHeight="1" x14ac:dyDescent="0.25">
      <c r="A68" s="302" t="s">
        <v>24</v>
      </c>
      <c r="B68" s="154" t="s">
        <v>88</v>
      </c>
      <c r="C68" s="303">
        <f>(MIN(D36,I36,N36,S36,X36,AC36,AH36))</f>
        <v>1.599</v>
      </c>
      <c r="D68" s="304">
        <f>(MIN(E36,J36,O36,T36,Y36,AD36,AI36))</f>
        <v>1.59</v>
      </c>
      <c r="E68" s="304">
        <f>(MIN(F36,K36,P36,U36,Z36,AE36,AJ36))</f>
        <v>1.6</v>
      </c>
      <c r="F68" s="305">
        <f>(MIN(G36,L36,Q36,V36,AA36,AF36,AK36))</f>
        <v>1.6</v>
      </c>
      <c r="G68" s="306">
        <f>(MIN(D36,I36,N36,S36,X36,AC36,AH36))</f>
        <v>1.599</v>
      </c>
      <c r="H68" s="307">
        <f>(MIN(E36,J36,O36,T36,Y36,AD36,AI36))</f>
        <v>1.59</v>
      </c>
      <c r="I68" s="304">
        <f>(MIN(F36,K36,P36,U36,Z36,AE36,AJ36))</f>
        <v>1.6</v>
      </c>
      <c r="J68" s="305">
        <f>(MIN(G36,L36,Q36,V36,AA36,AF36,AK36))</f>
        <v>1.6</v>
      </c>
      <c r="K68" s="303">
        <f>(MIN(D36,I36,N36,S36,X36,AC36,AH36))</f>
        <v>1.599</v>
      </c>
      <c r="L68" s="308">
        <f>(MIN(E36,J36,O36,T36,Y36,AD36,AI36))</f>
        <v>1.59</v>
      </c>
      <c r="M68" s="308">
        <f>(MIN(F36,K36,P36,U36,Z36,AE36,AJ36))</f>
        <v>1.6</v>
      </c>
      <c r="N68" s="309">
        <f>(MIN(G36,L36,Q36,V36,AA36,AF36,AK36))</f>
        <v>1.6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x14ac:dyDescent="0.25">
      <c r="A69" s="310" t="s">
        <v>25</v>
      </c>
      <c r="B69" s="166"/>
      <c r="C69" s="311"/>
      <c r="D69" s="311"/>
      <c r="E69" s="311"/>
      <c r="F69" s="311"/>
      <c r="G69" s="311"/>
      <c r="H69" s="311"/>
      <c r="I69" s="311"/>
      <c r="J69" s="311"/>
      <c r="K69" s="311"/>
      <c r="L69" s="311"/>
      <c r="M69" s="311"/>
      <c r="N69" s="31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ht="45" x14ac:dyDescent="0.25">
      <c r="A70" s="313" t="s">
        <v>26</v>
      </c>
      <c r="B70" s="314" t="s">
        <v>88</v>
      </c>
      <c r="C70" s="315">
        <f>IF(C67&lt;C68,-(C67-C68),0)</f>
        <v>0</v>
      </c>
      <c r="D70" s="316">
        <f>IF(D67&lt;D68,-(D67-D68),0)</f>
        <v>0</v>
      </c>
      <c r="E70" s="316">
        <f t="shared" ref="E70:N70" si="4">IF(E67&lt;E68,-(E67-E68),0)</f>
        <v>0</v>
      </c>
      <c r="F70" s="317">
        <f t="shared" si="4"/>
        <v>0</v>
      </c>
      <c r="G70" s="315">
        <f t="shared" si="4"/>
        <v>0</v>
      </c>
      <c r="H70" s="316">
        <f t="shared" si="4"/>
        <v>0</v>
      </c>
      <c r="I70" s="316">
        <f t="shared" si="4"/>
        <v>0</v>
      </c>
      <c r="J70" s="317">
        <f t="shared" si="4"/>
        <v>0</v>
      </c>
      <c r="K70" s="315">
        <f t="shared" si="4"/>
        <v>0</v>
      </c>
      <c r="L70" s="316">
        <f t="shared" si="4"/>
        <v>0</v>
      </c>
      <c r="M70" s="316">
        <f t="shared" si="4"/>
        <v>0</v>
      </c>
      <c r="N70" s="317">
        <f t="shared" si="4"/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ht="30" x14ac:dyDescent="0.25">
      <c r="A71" s="313" t="s">
        <v>61</v>
      </c>
      <c r="B71" s="314" t="s">
        <v>88</v>
      </c>
      <c r="C71" s="318">
        <f t="shared" ref="C71:N71" si="5">IF(C67&gt;C68,C67-C68,0)</f>
        <v>0.17900000000000005</v>
      </c>
      <c r="D71" s="319">
        <f t="shared" si="5"/>
        <v>0.18799999999999994</v>
      </c>
      <c r="E71" s="319">
        <f t="shared" si="5"/>
        <v>0.18799999999999994</v>
      </c>
      <c r="F71" s="320">
        <f t="shared" si="5"/>
        <v>0.21399999999999997</v>
      </c>
      <c r="G71" s="318">
        <f t="shared" si="5"/>
        <v>0.25900000000000012</v>
      </c>
      <c r="H71" s="319">
        <f t="shared" si="5"/>
        <v>0.26800000000000002</v>
      </c>
      <c r="I71" s="319">
        <f t="shared" si="5"/>
        <v>0.26800000000000002</v>
      </c>
      <c r="J71" s="320">
        <f t="shared" si="5"/>
        <v>0.29599999999999982</v>
      </c>
      <c r="K71" s="318">
        <f t="shared" si="5"/>
        <v>0.34099999999999997</v>
      </c>
      <c r="L71" s="319">
        <f t="shared" si="5"/>
        <v>0.34999999999999987</v>
      </c>
      <c r="M71" s="319">
        <f t="shared" si="5"/>
        <v>0.34999999999999987</v>
      </c>
      <c r="N71" s="320">
        <f t="shared" si="5"/>
        <v>0.37999999999999989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x14ac:dyDescent="0.25">
      <c r="A72" s="261" t="s">
        <v>62</v>
      </c>
      <c r="B72" s="262" t="s">
        <v>88</v>
      </c>
      <c r="C72" s="38">
        <f>-MIN(C65,C71,0)</f>
        <v>0</v>
      </c>
      <c r="D72" s="35">
        <f>-MIN(D65,D71,C79)</f>
        <v>0</v>
      </c>
      <c r="E72" s="35">
        <f>-MIN(E65,E71,D79)</f>
        <v>0</v>
      </c>
      <c r="F72" s="37">
        <f>-MIN(F65,F71,E79)</f>
        <v>0</v>
      </c>
      <c r="G72" s="38">
        <f>-MIN(G65,G71,0)</f>
        <v>0</v>
      </c>
      <c r="H72" s="35">
        <f>-MIN(H65,H71,G79)</f>
        <v>0</v>
      </c>
      <c r="I72" s="35">
        <f>-MIN(I65,I71,H79)</f>
        <v>0</v>
      </c>
      <c r="J72" s="37">
        <f>-MIN(J65,J71,I79)</f>
        <v>0</v>
      </c>
      <c r="K72" s="38">
        <f>-MIN(K65,K71,0)</f>
        <v>0</v>
      </c>
      <c r="L72" s="35">
        <f>-MIN(L65,L71,K79)</f>
        <v>0</v>
      </c>
      <c r="M72" s="35">
        <f>-MIN(M65,M71,L79)</f>
        <v>0</v>
      </c>
      <c r="N72" s="37">
        <f>-MIN(N65,N71,M79)</f>
        <v>0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x14ac:dyDescent="0.25">
      <c r="A73" s="261" t="s">
        <v>63</v>
      </c>
      <c r="B73" s="262" t="s">
        <v>88</v>
      </c>
      <c r="C73" s="263">
        <f>MIN(C71+C72,0)</f>
        <v>0</v>
      </c>
      <c r="D73" s="264">
        <f>MIN(D71+D72,-C80)</f>
        <v>0</v>
      </c>
      <c r="E73" s="264">
        <f>MIN(E71+E72,-D80)</f>
        <v>0</v>
      </c>
      <c r="F73" s="265">
        <f>MIN(F71+F72,-E80)</f>
        <v>0</v>
      </c>
      <c r="G73" s="263">
        <f t="shared" ref="G73:K73" si="6">MIN(G71+G72,0)</f>
        <v>0</v>
      </c>
      <c r="H73" s="264">
        <f>MIN(H71+H72,-G80)</f>
        <v>0</v>
      </c>
      <c r="I73" s="264">
        <f t="shared" ref="I73" si="7">MIN(I71+I72,-H80)</f>
        <v>0</v>
      </c>
      <c r="J73" s="265">
        <f>MIN(J71+J72,-I80)</f>
        <v>0</v>
      </c>
      <c r="K73" s="263">
        <f t="shared" si="6"/>
        <v>0</v>
      </c>
      <c r="L73" s="264">
        <f>MIN(L71+L72,-K80)</f>
        <v>0</v>
      </c>
      <c r="M73" s="264">
        <f>MIN(M71+M72,-L80)</f>
        <v>0</v>
      </c>
      <c r="N73" s="265">
        <f>MIN(N71+N72,-M80)</f>
        <v>0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x14ac:dyDescent="0.25">
      <c r="A74" s="310" t="s">
        <v>27</v>
      </c>
      <c r="B74" s="166"/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311"/>
      <c r="N74" s="312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25">
      <c r="A75" s="301" t="s">
        <v>28</v>
      </c>
      <c r="B75" s="262" t="s">
        <v>88</v>
      </c>
      <c r="C75" s="151">
        <f>C65+C70-(C66-(C76-C73))+C72</f>
        <v>1.77</v>
      </c>
      <c r="D75" s="152">
        <f t="shared" ref="D75:N75" si="8">D65+D70-(D66-(D76-D73))+D72</f>
        <v>1.7270000000000001</v>
      </c>
      <c r="E75" s="152">
        <f t="shared" si="8"/>
        <v>1.73</v>
      </c>
      <c r="F75" s="153">
        <f t="shared" si="8"/>
        <v>1.748</v>
      </c>
      <c r="G75" s="151">
        <f t="shared" si="8"/>
        <v>1.77</v>
      </c>
      <c r="H75" s="152">
        <f t="shared" si="8"/>
        <v>1.7270000000000001</v>
      </c>
      <c r="I75" s="152">
        <f t="shared" si="8"/>
        <v>1.73</v>
      </c>
      <c r="J75" s="153">
        <f t="shared" si="8"/>
        <v>1.748</v>
      </c>
      <c r="K75" s="151">
        <f t="shared" si="8"/>
        <v>1.77</v>
      </c>
      <c r="L75" s="152">
        <f t="shared" si="8"/>
        <v>1.7270000000000001</v>
      </c>
      <c r="M75" s="152">
        <f t="shared" si="8"/>
        <v>1.73</v>
      </c>
      <c r="N75" s="153">
        <f t="shared" si="8"/>
        <v>1.748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x14ac:dyDescent="0.25">
      <c r="A76" s="301" t="s">
        <v>29</v>
      </c>
      <c r="B76" s="262" t="s">
        <v>88</v>
      </c>
      <c r="C76" s="38">
        <f t="shared" ref="C76:N76" si="9">IF(C66&gt;=0.5*C70,C66-0.5*C70,0)+C73</f>
        <v>0</v>
      </c>
      <c r="D76" s="35">
        <f t="shared" si="9"/>
        <v>0</v>
      </c>
      <c r="E76" s="35">
        <f t="shared" si="9"/>
        <v>0</v>
      </c>
      <c r="F76" s="37">
        <f t="shared" si="9"/>
        <v>0</v>
      </c>
      <c r="G76" s="38">
        <f t="shared" si="9"/>
        <v>0</v>
      </c>
      <c r="H76" s="35">
        <f t="shared" si="9"/>
        <v>0</v>
      </c>
      <c r="I76" s="35">
        <f t="shared" si="9"/>
        <v>0</v>
      </c>
      <c r="J76" s="37">
        <f t="shared" si="9"/>
        <v>0</v>
      </c>
      <c r="K76" s="38">
        <f t="shared" si="9"/>
        <v>0</v>
      </c>
      <c r="L76" s="35">
        <f t="shared" si="9"/>
        <v>0</v>
      </c>
      <c r="M76" s="35">
        <f t="shared" si="9"/>
        <v>0</v>
      </c>
      <c r="N76" s="37">
        <f t="shared" si="9"/>
        <v>0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25">
      <c r="A77" s="301" t="s">
        <v>30</v>
      </c>
      <c r="B77" s="262" t="s">
        <v>88</v>
      </c>
      <c r="C77" s="263">
        <f t="shared" ref="C77:N77" si="10">C67+C70-C73+C72</f>
        <v>1.778</v>
      </c>
      <c r="D77" s="264">
        <f t="shared" si="10"/>
        <v>1.778</v>
      </c>
      <c r="E77" s="264">
        <f t="shared" si="10"/>
        <v>1.788</v>
      </c>
      <c r="F77" s="265">
        <f t="shared" si="10"/>
        <v>1.8140000000000001</v>
      </c>
      <c r="G77" s="263">
        <f t="shared" si="10"/>
        <v>1.8580000000000001</v>
      </c>
      <c r="H77" s="264">
        <f t="shared" si="10"/>
        <v>1.8580000000000001</v>
      </c>
      <c r="I77" s="264">
        <f t="shared" si="10"/>
        <v>1.8680000000000001</v>
      </c>
      <c r="J77" s="265">
        <f t="shared" si="10"/>
        <v>1.8959999999999999</v>
      </c>
      <c r="K77" s="263">
        <f t="shared" si="10"/>
        <v>1.94</v>
      </c>
      <c r="L77" s="264">
        <f t="shared" si="10"/>
        <v>1.94</v>
      </c>
      <c r="M77" s="264">
        <f t="shared" si="10"/>
        <v>1.95</v>
      </c>
      <c r="N77" s="265">
        <f t="shared" si="10"/>
        <v>1.98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25">
      <c r="A78" s="310" t="s">
        <v>31</v>
      </c>
      <c r="B78" s="166"/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x14ac:dyDescent="0.25">
      <c r="A79" s="301" t="s">
        <v>32</v>
      </c>
      <c r="B79" s="262" t="s">
        <v>88</v>
      </c>
      <c r="C79" s="151">
        <f>C75-C65</f>
        <v>0</v>
      </c>
      <c r="D79" s="152">
        <f t="shared" ref="D79:F81" si="11">D75-D65+C79</f>
        <v>0</v>
      </c>
      <c r="E79" s="152">
        <f t="shared" si="11"/>
        <v>0</v>
      </c>
      <c r="F79" s="153">
        <f t="shared" si="11"/>
        <v>0</v>
      </c>
      <c r="G79" s="151">
        <f>G75-G65</f>
        <v>0</v>
      </c>
      <c r="H79" s="152">
        <f t="shared" ref="H79:J81" si="12">H75-H65+G79</f>
        <v>0</v>
      </c>
      <c r="I79" s="152">
        <f t="shared" si="12"/>
        <v>0</v>
      </c>
      <c r="J79" s="153">
        <f t="shared" si="12"/>
        <v>0</v>
      </c>
      <c r="K79" s="151">
        <f>K75-K65</f>
        <v>0</v>
      </c>
      <c r="L79" s="152">
        <f t="shared" ref="L79:N81" si="13">L75-L65+K79</f>
        <v>0</v>
      </c>
      <c r="M79" s="152">
        <f t="shared" si="13"/>
        <v>0</v>
      </c>
      <c r="N79" s="153">
        <f t="shared" si="13"/>
        <v>0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x14ac:dyDescent="0.25">
      <c r="A80" s="301" t="s">
        <v>33</v>
      </c>
      <c r="B80" s="262" t="s">
        <v>88</v>
      </c>
      <c r="C80" s="38">
        <f>C76-C66</f>
        <v>0</v>
      </c>
      <c r="D80" s="35">
        <f t="shared" si="11"/>
        <v>0</v>
      </c>
      <c r="E80" s="35">
        <f t="shared" si="11"/>
        <v>0</v>
      </c>
      <c r="F80" s="37">
        <f t="shared" si="11"/>
        <v>0</v>
      </c>
      <c r="G80" s="38">
        <f>G76-G66</f>
        <v>0</v>
      </c>
      <c r="H80" s="35">
        <f t="shared" si="12"/>
        <v>0</v>
      </c>
      <c r="I80" s="35">
        <f t="shared" si="12"/>
        <v>0</v>
      </c>
      <c r="J80" s="37">
        <f t="shared" si="12"/>
        <v>0</v>
      </c>
      <c r="K80" s="38">
        <f>K76-K66</f>
        <v>0</v>
      </c>
      <c r="L80" s="35">
        <f t="shared" si="13"/>
        <v>0</v>
      </c>
      <c r="M80" s="35">
        <f t="shared" si="13"/>
        <v>0</v>
      </c>
      <c r="N80" s="37">
        <f t="shared" si="13"/>
        <v>0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ht="15.75" thickBot="1" x14ac:dyDescent="0.3">
      <c r="A81" s="321" t="s">
        <v>34</v>
      </c>
      <c r="B81" s="322" t="s">
        <v>88</v>
      </c>
      <c r="C81" s="323">
        <f>C77-C67</f>
        <v>0</v>
      </c>
      <c r="D81" s="324">
        <f t="shared" si="11"/>
        <v>0</v>
      </c>
      <c r="E81" s="324">
        <f t="shared" si="11"/>
        <v>0</v>
      </c>
      <c r="F81" s="325">
        <f t="shared" si="11"/>
        <v>0</v>
      </c>
      <c r="G81" s="323">
        <f>G77-G67+F81</f>
        <v>0</v>
      </c>
      <c r="H81" s="324">
        <f t="shared" si="12"/>
        <v>0</v>
      </c>
      <c r="I81" s="324">
        <f t="shared" si="12"/>
        <v>0</v>
      </c>
      <c r="J81" s="325">
        <f t="shared" si="12"/>
        <v>0</v>
      </c>
      <c r="K81" s="323">
        <f>K77-K67+J81</f>
        <v>0</v>
      </c>
      <c r="L81" s="324">
        <f t="shared" si="13"/>
        <v>0</v>
      </c>
      <c r="M81" s="324">
        <f t="shared" si="13"/>
        <v>0</v>
      </c>
      <c r="N81" s="325">
        <f t="shared" si="13"/>
        <v>0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440" spans="3:52" x14ac:dyDescent="0.25">
      <c r="C440" s="4">
        <v>20</v>
      </c>
      <c r="D440" s="4">
        <v>21</v>
      </c>
      <c r="E440" s="4">
        <v>22</v>
      </c>
      <c r="F440" s="4">
        <v>23</v>
      </c>
      <c r="G440" s="4">
        <v>24</v>
      </c>
      <c r="H440" s="4">
        <v>25</v>
      </c>
      <c r="I440" s="4">
        <v>26</v>
      </c>
      <c r="J440" s="4">
        <v>27</v>
      </c>
      <c r="K440" s="4">
        <v>28</v>
      </c>
      <c r="L440" s="4">
        <v>29</v>
      </c>
      <c r="M440" s="4">
        <v>30</v>
      </c>
      <c r="N440" s="4">
        <v>31</v>
      </c>
      <c r="O440" s="4">
        <v>32</v>
      </c>
      <c r="P440" s="4">
        <v>33</v>
      </c>
      <c r="Q440" s="4">
        <v>34</v>
      </c>
      <c r="R440" s="4">
        <v>35</v>
      </c>
      <c r="S440" s="4">
        <v>36</v>
      </c>
      <c r="T440" s="4">
        <v>37</v>
      </c>
      <c r="U440" s="4">
        <v>38</v>
      </c>
      <c r="V440" s="4">
        <v>39</v>
      </c>
      <c r="W440" s="4">
        <v>40</v>
      </c>
      <c r="X440" s="4">
        <v>41</v>
      </c>
      <c r="AY440" t="s">
        <v>58</v>
      </c>
      <c r="AZ440" t="s">
        <v>56</v>
      </c>
    </row>
  </sheetData>
  <sheetProtection algorithmName="SHA-512" hashValue="ORyAUhRCIOkMKgKLStHTVqReyHnEImcQCfdRx3RjHDiYHSG8WZdJp1lWZpMJw6rSussx7+Mw5tf7X0QUkJ+PDg==" saltValue="/E1tzA4s7ZZLhUxS1Z2MAA==" spinCount="100000" sheet="1" objects="1" scenarios="1"/>
  <mergeCells count="34">
    <mergeCell ref="M15:M16"/>
    <mergeCell ref="N15:Q15"/>
    <mergeCell ref="I15:L15"/>
    <mergeCell ref="H15:H16"/>
    <mergeCell ref="A15:A16"/>
    <mergeCell ref="B15:B16"/>
    <mergeCell ref="D15:G15"/>
    <mergeCell ref="C15:C16"/>
    <mergeCell ref="A62:A63"/>
    <mergeCell ref="B62:B63"/>
    <mergeCell ref="C62:F62"/>
    <mergeCell ref="G62:J62"/>
    <mergeCell ref="AH34:AK34"/>
    <mergeCell ref="X34:AA34"/>
    <mergeCell ref="AB34:AB35"/>
    <mergeCell ref="AC34:AF34"/>
    <mergeCell ref="AG34:AG35"/>
    <mergeCell ref="W34:W35"/>
    <mergeCell ref="I34:L34"/>
    <mergeCell ref="M34:M35"/>
    <mergeCell ref="K62:N62"/>
    <mergeCell ref="N34:Q34"/>
    <mergeCell ref="R34:R35"/>
    <mergeCell ref="S34:V34"/>
    <mergeCell ref="H42:H43"/>
    <mergeCell ref="H34:H35"/>
    <mergeCell ref="A42:A43"/>
    <mergeCell ref="B42:B43"/>
    <mergeCell ref="C42:C43"/>
    <mergeCell ref="D42:G42"/>
    <mergeCell ref="A34:A35"/>
    <mergeCell ref="B34:B35"/>
    <mergeCell ref="C34:C35"/>
    <mergeCell ref="D34:G34"/>
  </mergeCells>
  <phoneticPr fontId="17" type="noConversion"/>
  <dataValidations disablePrompts="1" count="3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I36:L36 I18:L24 I11:L11 N36:Q36 N11:Q11 D36:G36 D17 D11:G11 N18:Q24 D18:G24 S36:V36 D44:G46">
      <formula1>-1000000000</formula1>
    </dataValidation>
    <dataValidation type="decimal" operator="greaterThan" allowBlank="1" showInputMessage="1" showErrorMessage="1" sqref="C52:H52">
      <formula1>-100000000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54" firstPageNumber="0" fitToHeight="0" orientation="landscape" r:id="rId1"/>
  <rowBreaks count="1" manualBreakCount="1">
    <brk id="58" max="16383" man="1"/>
  </rowBreaks>
  <colBreaks count="2" manualBreakCount="2">
    <brk id="17" max="1048575" man="1"/>
    <brk id="3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</sheetPr>
  <dimension ref="A1:IV158"/>
  <sheetViews>
    <sheetView showGridLines="0" view="pageBreakPreview" zoomScale="60" zoomScaleNormal="100" workbookViewId="0">
      <pane xSplit="2" ySplit="8" topLeftCell="G14" activePane="bottomRight" state="frozen"/>
      <selection activeCell="A17" sqref="A17"/>
      <selection pane="topRight" activeCell="A17" sqref="A17"/>
      <selection pane="bottomLeft" activeCell="A17" sqref="A17"/>
      <selection pane="bottomRight" activeCell="S33" sqref="S33"/>
    </sheetView>
  </sheetViews>
  <sheetFormatPr defaultColWidth="8.5703125" defaultRowHeight="15" outlineLevelRow="1" outlineLevelCol="1" x14ac:dyDescent="0.25"/>
  <cols>
    <col min="1" max="1" width="49.42578125" style="10" customWidth="1"/>
    <col min="2" max="2" width="12" style="101" customWidth="1"/>
    <col min="3" max="6" width="13.85546875" style="18" customWidth="1" outlineLevel="1"/>
    <col min="7" max="7" width="13.85546875" style="18" customWidth="1"/>
    <col min="8" max="11" width="13.85546875" style="18" customWidth="1" outlineLevel="1"/>
    <col min="12" max="12" width="13.85546875" style="18" customWidth="1"/>
    <col min="13" max="16" width="13.85546875" style="18" customWidth="1" outlineLevel="1"/>
    <col min="17" max="17" width="13.85546875" style="18" customWidth="1"/>
    <col min="18" max="18" width="9.42578125" customWidth="1"/>
    <col min="19" max="19" width="35.140625" customWidth="1"/>
    <col min="20" max="20" width="10.42578125" customWidth="1"/>
  </cols>
  <sheetData>
    <row r="1" spans="1:256" ht="15" customHeight="1" x14ac:dyDescent="0.25">
      <c r="A1" s="14"/>
      <c r="B1" s="100" t="s">
        <v>9</v>
      </c>
      <c r="R1" s="4"/>
    </row>
    <row r="2" spans="1:256" ht="15" customHeight="1" x14ac:dyDescent="0.25">
      <c r="A2" s="13" t="s">
        <v>8</v>
      </c>
      <c r="B2" s="359"/>
    </row>
    <row r="3" spans="1:256" ht="15" customHeight="1" x14ac:dyDescent="0.25">
      <c r="A3" s="13" t="s">
        <v>54</v>
      </c>
      <c r="B3" s="140"/>
    </row>
    <row r="4" spans="1:256" ht="15" customHeight="1" x14ac:dyDescent="0.25">
      <c r="A4" s="13" t="s">
        <v>52</v>
      </c>
      <c r="B4" s="36"/>
    </row>
    <row r="5" spans="1:256" ht="15" customHeight="1" x14ac:dyDescent="0.25">
      <c r="A5" s="13" t="s">
        <v>53</v>
      </c>
      <c r="B5" s="57"/>
      <c r="E5" s="33"/>
      <c r="F5" s="33"/>
      <c r="L5" s="33"/>
    </row>
    <row r="6" spans="1:256" ht="15" customHeight="1" thickBot="1" x14ac:dyDescent="0.3">
      <c r="R6" s="12"/>
      <c r="S6" s="12"/>
      <c r="T6" s="12"/>
      <c r="U6" s="12"/>
    </row>
    <row r="7" spans="1:256" ht="15" customHeight="1" x14ac:dyDescent="0.25">
      <c r="A7" s="442" t="s">
        <v>14</v>
      </c>
      <c r="B7" s="418" t="s">
        <v>35</v>
      </c>
      <c r="C7" s="420" t="str">
        <f>YEAR(Date)&amp;" год"</f>
        <v>2021 год</v>
      </c>
      <c r="D7" s="414"/>
      <c r="E7" s="414"/>
      <c r="F7" s="415"/>
      <c r="G7" s="407" t="str">
        <f>C7</f>
        <v>2021 год</v>
      </c>
      <c r="H7" s="420" t="str">
        <f>(LEFT(C7,4)+1)&amp;" год"</f>
        <v>2022 год</v>
      </c>
      <c r="I7" s="414"/>
      <c r="J7" s="414"/>
      <c r="K7" s="415"/>
      <c r="L7" s="407" t="str">
        <f>H7</f>
        <v>2022 год</v>
      </c>
      <c r="M7" s="420" t="str">
        <f>(LEFT(H7,4)+1)&amp;" год"</f>
        <v>2023 год</v>
      </c>
      <c r="N7" s="414"/>
      <c r="O7" s="414"/>
      <c r="P7" s="415"/>
      <c r="Q7" s="407" t="str">
        <f>M7</f>
        <v>2023 год</v>
      </c>
      <c r="R7" s="12"/>
      <c r="S7" s="12"/>
      <c r="T7" s="12"/>
      <c r="U7" s="12"/>
    </row>
    <row r="8" spans="1:256" ht="15" customHeight="1" thickBot="1" x14ac:dyDescent="0.3">
      <c r="A8" s="443"/>
      <c r="B8" s="419"/>
      <c r="C8" s="364" t="s">
        <v>0</v>
      </c>
      <c r="D8" s="365" t="s">
        <v>1</v>
      </c>
      <c r="E8" s="365" t="s">
        <v>2</v>
      </c>
      <c r="F8" s="366" t="s">
        <v>3</v>
      </c>
      <c r="G8" s="408"/>
      <c r="H8" s="364" t="s">
        <v>0</v>
      </c>
      <c r="I8" s="365" t="s">
        <v>1</v>
      </c>
      <c r="J8" s="365" t="s">
        <v>2</v>
      </c>
      <c r="K8" s="366" t="s">
        <v>3</v>
      </c>
      <c r="L8" s="408"/>
      <c r="M8" s="364" t="s">
        <v>0</v>
      </c>
      <c r="N8" s="365" t="s">
        <v>1</v>
      </c>
      <c r="O8" s="365" t="s">
        <v>2</v>
      </c>
      <c r="P8" s="366" t="s">
        <v>3</v>
      </c>
      <c r="Q8" s="408"/>
      <c r="R8" s="12"/>
      <c r="S8" s="12"/>
      <c r="T8" s="12"/>
      <c r="U8" s="12"/>
    </row>
    <row r="9" spans="1:256" s="9" customFormat="1" ht="15" customHeight="1" x14ac:dyDescent="0.25">
      <c r="A9" s="201" t="s">
        <v>37</v>
      </c>
      <c r="B9" s="229" t="s">
        <v>88</v>
      </c>
      <c r="C9" s="230">
        <f>ROUND(G9,3)</f>
        <v>1.734</v>
      </c>
      <c r="D9" s="207">
        <f>ROUND(C28,3)</f>
        <v>1.778</v>
      </c>
      <c r="E9" s="207">
        <f>ROUND(D28,3)</f>
        <v>1.778</v>
      </c>
      <c r="F9" s="231">
        <f>ROUND(E28,3)</f>
        <v>1.788</v>
      </c>
      <c r="G9" s="132">
        <f>ROUND('1. Статистика'!AK36,3)</f>
        <v>1.734</v>
      </c>
      <c r="H9" s="230">
        <f>ROUND(L9,3)</f>
        <v>1.8140000000000001</v>
      </c>
      <c r="I9" s="207">
        <f>ROUND(H28,3)</f>
        <v>1.8580000000000001</v>
      </c>
      <c r="J9" s="207">
        <f>ROUND(I28,3)</f>
        <v>1.8580000000000001</v>
      </c>
      <c r="K9" s="231">
        <f>ROUND(J28,3)</f>
        <v>1.8680000000000001</v>
      </c>
      <c r="L9" s="132">
        <f>ROUND(F28,3)</f>
        <v>1.8140000000000001</v>
      </c>
      <c r="M9" s="230">
        <f>ROUND(Q9,3)</f>
        <v>1.8959999999999999</v>
      </c>
      <c r="N9" s="207">
        <f>ROUND(M28,3)</f>
        <v>1.94</v>
      </c>
      <c r="O9" s="207">
        <f>ROUND(N28,3)</f>
        <v>1.94</v>
      </c>
      <c r="P9" s="231">
        <f>ROUND(O28,3)</f>
        <v>1.95</v>
      </c>
      <c r="Q9" s="132">
        <f>ROUND(K28,3)</f>
        <v>1.8959999999999999</v>
      </c>
      <c r="R9" s="12"/>
      <c r="S9" s="12"/>
      <c r="T9" s="12"/>
      <c r="U9" s="12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</row>
    <row r="10" spans="1:256" s="12" customFormat="1" ht="15" customHeight="1" x14ac:dyDescent="0.25">
      <c r="A10" s="202" t="s">
        <v>90</v>
      </c>
      <c r="B10" s="232" t="s">
        <v>88</v>
      </c>
      <c r="C10" s="233">
        <f>ROUND(C11+C12-C13+C14,3)</f>
        <v>3.6999999999999998E-2</v>
      </c>
      <c r="D10" s="209">
        <f>ROUND(D11+D12-D13+D14,3)</f>
        <v>3.5999999999999997E-2</v>
      </c>
      <c r="E10" s="209">
        <f>ROUND(E11+E12-E13+E14,3)</f>
        <v>4.2999999999999997E-2</v>
      </c>
      <c r="F10" s="234">
        <f>ROUND(F11+F12-F13+F14,3)</f>
        <v>4.1000000000000002E-2</v>
      </c>
      <c r="G10" s="133">
        <f>ROUND(SUM(C10:F10),3)</f>
        <v>0.157</v>
      </c>
      <c r="H10" s="233">
        <f>ROUND(H11+H12-H13+H14,3)</f>
        <v>3.6999999999999998E-2</v>
      </c>
      <c r="I10" s="209">
        <f>ROUND(I11+I12-I13+I14,3)</f>
        <v>3.5999999999999997E-2</v>
      </c>
      <c r="J10" s="209">
        <f>ROUND(J11+J12-J13+J14,3)</f>
        <v>4.2999999999999997E-2</v>
      </c>
      <c r="K10" s="234">
        <f>ROUND(K11+K12-K13+K14,3)</f>
        <v>4.2999999999999997E-2</v>
      </c>
      <c r="L10" s="133">
        <f>ROUND(SUM(H10:K10),3)</f>
        <v>0.159</v>
      </c>
      <c r="M10" s="233">
        <f>ROUND(M11+M12-M13+M14,3)</f>
        <v>3.6999999999999998E-2</v>
      </c>
      <c r="N10" s="209">
        <f>ROUND(N11+N12-N13+N14,3)</f>
        <v>3.5999999999999997E-2</v>
      </c>
      <c r="O10" s="209">
        <f>ROUND(O11+O12-O13+O14,3)</f>
        <v>4.2999999999999997E-2</v>
      </c>
      <c r="P10" s="234">
        <f>ROUND(P11+P12-P13+P14,3)</f>
        <v>4.4999999999999998E-2</v>
      </c>
      <c r="Q10" s="133">
        <f>ROUND(SUM(M10:P10),3)</f>
        <v>0.161</v>
      </c>
    </row>
    <row r="11" spans="1:256" s="54" customFormat="1" ht="30" outlineLevel="1" x14ac:dyDescent="0.25">
      <c r="A11" s="102" t="s">
        <v>42</v>
      </c>
      <c r="B11" s="169" t="s">
        <v>88</v>
      </c>
      <c r="C11" s="174">
        <f>ROUND('1. Статистика'!N18,3)</f>
        <v>3.6999999999999998E-2</v>
      </c>
      <c r="D11" s="134">
        <f>ROUND('1. Статистика'!O18,3)</f>
        <v>3.5999999999999997E-2</v>
      </c>
      <c r="E11" s="134">
        <f>ROUND('1. Статистика'!P18,3)</f>
        <v>4.2999999999999997E-2</v>
      </c>
      <c r="F11" s="175">
        <f>ROUND('1. Статистика'!Q18,3)</f>
        <v>4.1000000000000002E-2</v>
      </c>
      <c r="G11" s="142">
        <f>ROUND(SUM(C11:F11),3)</f>
        <v>0.157</v>
      </c>
      <c r="H11" s="174">
        <f>ROUND(C10,3)</f>
        <v>3.6999999999999998E-2</v>
      </c>
      <c r="I11" s="134">
        <f>ROUND(D10,3)</f>
        <v>3.5999999999999997E-2</v>
      </c>
      <c r="J11" s="134">
        <f>ROUND(E10,3)</f>
        <v>4.2999999999999997E-2</v>
      </c>
      <c r="K11" s="175">
        <f>ROUND(F10,3)</f>
        <v>4.1000000000000002E-2</v>
      </c>
      <c r="L11" s="142">
        <f>ROUND(SUM(H11:K11),3)</f>
        <v>0.157</v>
      </c>
      <c r="M11" s="174">
        <f>ROUND(H10,3)</f>
        <v>3.6999999999999998E-2</v>
      </c>
      <c r="N11" s="134">
        <f>ROUND(I10,3)</f>
        <v>3.5999999999999997E-2</v>
      </c>
      <c r="O11" s="134">
        <f>ROUND(J10,3)</f>
        <v>4.2999999999999997E-2</v>
      </c>
      <c r="P11" s="175">
        <f>ROUND(K10,3)</f>
        <v>4.2999999999999997E-2</v>
      </c>
      <c r="Q11" s="142">
        <f>ROUND(SUM(M11:P11),3)</f>
        <v>0.159</v>
      </c>
    </row>
    <row r="12" spans="1:256" s="54" customFormat="1" ht="45" outlineLevel="1" x14ac:dyDescent="0.25">
      <c r="A12" s="102" t="s">
        <v>43</v>
      </c>
      <c r="B12" s="169" t="s">
        <v>88</v>
      </c>
      <c r="C12" s="174">
        <f>ROUND('1. Статистика'!D11,3)</f>
        <v>0</v>
      </c>
      <c r="D12" s="137">
        <f>ROUND('1. Статистика'!E11,3)</f>
        <v>0</v>
      </c>
      <c r="E12" s="137">
        <f>ROUND('1. Статистика'!F11,3)</f>
        <v>0</v>
      </c>
      <c r="F12" s="176">
        <f>ROUND('1. Статистика'!G11,3)</f>
        <v>0</v>
      </c>
      <c r="G12" s="142">
        <f>ROUND(SUM(C12:F12),3)</f>
        <v>0</v>
      </c>
      <c r="H12" s="174">
        <f>ROUND('1. Статистика'!I11,3)</f>
        <v>0</v>
      </c>
      <c r="I12" s="137">
        <f>ROUND('1. Статистика'!J11,3)</f>
        <v>0</v>
      </c>
      <c r="J12" s="137">
        <f>ROUND('1. Статистика'!K11,3)</f>
        <v>0</v>
      </c>
      <c r="K12" s="176">
        <f>ROUND('1. Статистика'!L11,3)</f>
        <v>0</v>
      </c>
      <c r="L12" s="142">
        <f>ROUND(SUM(H12:K12),3)</f>
        <v>0</v>
      </c>
      <c r="M12" s="174">
        <f>ROUND('1. Статистика'!N11,3)</f>
        <v>0</v>
      </c>
      <c r="N12" s="137">
        <f>ROUND('1. Статистика'!O11,3)</f>
        <v>0</v>
      </c>
      <c r="O12" s="137">
        <f>ROUND('1. Статистика'!P11,3)</f>
        <v>0</v>
      </c>
      <c r="P12" s="176">
        <f>ROUND('1. Статистика'!Q11,3)</f>
        <v>0</v>
      </c>
      <c r="Q12" s="142">
        <f>ROUND(SUM(M12:P12),3)</f>
        <v>0</v>
      </c>
    </row>
    <row r="13" spans="1:256" s="54" customFormat="1" ht="30" outlineLevel="1" x14ac:dyDescent="0.25">
      <c r="A13" s="102" t="s">
        <v>44</v>
      </c>
      <c r="B13" s="169" t="s">
        <v>88</v>
      </c>
      <c r="C13" s="291"/>
      <c r="D13" s="292"/>
      <c r="E13" s="292"/>
      <c r="F13" s="293"/>
      <c r="G13" s="142">
        <f>ROUND(SUM(C13:F13),3)</f>
        <v>0</v>
      </c>
      <c r="H13" s="291"/>
      <c r="I13" s="292"/>
      <c r="J13" s="292"/>
      <c r="K13" s="293"/>
      <c r="L13" s="142">
        <f>ROUND(SUM(H13:K13),3)</f>
        <v>0</v>
      </c>
      <c r="M13" s="291"/>
      <c r="N13" s="292"/>
      <c r="O13" s="292"/>
      <c r="P13" s="293"/>
      <c r="Q13" s="142">
        <f>ROUND(SUM(M13:P13),3)</f>
        <v>0</v>
      </c>
    </row>
    <row r="14" spans="1:256" s="54" customFormat="1" ht="30" outlineLevel="1" x14ac:dyDescent="0.25">
      <c r="A14" s="102" t="s">
        <v>45</v>
      </c>
      <c r="B14" s="169" t="s">
        <v>88</v>
      </c>
      <c r="C14" s="177"/>
      <c r="D14" s="150"/>
      <c r="E14" s="150"/>
      <c r="F14" s="178"/>
      <c r="G14" s="142">
        <f>ROUND(SUM(C14:F14),3)</f>
        <v>0</v>
      </c>
      <c r="H14" s="177"/>
      <c r="I14" s="150"/>
      <c r="J14" s="150"/>
      <c r="K14" s="178">
        <v>2E-3</v>
      </c>
      <c r="L14" s="142">
        <f>ROUND(SUM(H14:K14),3)</f>
        <v>2E-3</v>
      </c>
      <c r="M14" s="177"/>
      <c r="N14" s="150"/>
      <c r="O14" s="150"/>
      <c r="P14" s="178">
        <v>2E-3</v>
      </c>
      <c r="Q14" s="142">
        <f>ROUND(SUM(M14:P14),3)</f>
        <v>2E-3</v>
      </c>
    </row>
    <row r="15" spans="1:256" s="12" customFormat="1" ht="14.45" customHeight="1" x14ac:dyDescent="0.25">
      <c r="A15" s="202" t="s">
        <v>38</v>
      </c>
      <c r="B15" s="232" t="s">
        <v>88</v>
      </c>
      <c r="C15" s="235">
        <f>ROUND(C16+C17,3)</f>
        <v>1.77</v>
      </c>
      <c r="D15" s="236">
        <f>ROUND(D16+D17,3)</f>
        <v>1.7270000000000001</v>
      </c>
      <c r="E15" s="236">
        <f>ROUND(E16+E17,3)</f>
        <v>1.73</v>
      </c>
      <c r="F15" s="237">
        <f>ROUND(F16+F17,3)</f>
        <v>1.748</v>
      </c>
      <c r="G15" s="143">
        <f>ROUND(SUM(G16:G17),3)</f>
        <v>6.9749999999999996</v>
      </c>
      <c r="H15" s="235">
        <f>ROUND(H16+H17,3)</f>
        <v>1.77</v>
      </c>
      <c r="I15" s="236">
        <f>ROUND(I16+I17,3)</f>
        <v>1.7270000000000001</v>
      </c>
      <c r="J15" s="236">
        <f>ROUND(J16+J17,3)</f>
        <v>1.73</v>
      </c>
      <c r="K15" s="237">
        <f>ROUND(K16+K17,3)</f>
        <v>1.748</v>
      </c>
      <c r="L15" s="143">
        <f>ROUND(SUM(L16:L17),3)</f>
        <v>6.9749999999999996</v>
      </c>
      <c r="M15" s="235">
        <f>ROUND(M16+M17,3)</f>
        <v>1.77</v>
      </c>
      <c r="N15" s="236">
        <f>ROUND(N16+N17,3)</f>
        <v>1.7270000000000001</v>
      </c>
      <c r="O15" s="236">
        <f>ROUND(O16+O17,3)</f>
        <v>1.73</v>
      </c>
      <c r="P15" s="237">
        <f>ROUND(P16+P17,3)</f>
        <v>1.748</v>
      </c>
      <c r="Q15" s="143">
        <f>ROUND(SUM(Q16:Q17),3)</f>
        <v>6.9749999999999996</v>
      </c>
      <c r="R15" s="54"/>
      <c r="S15" s="54"/>
      <c r="T15" s="54"/>
      <c r="U15" s="54"/>
      <c r="V15" s="54"/>
    </row>
    <row r="16" spans="1:256" s="273" customFormat="1" ht="14.45" customHeight="1" outlineLevel="1" x14ac:dyDescent="0.25">
      <c r="A16" s="182" t="s">
        <v>39</v>
      </c>
      <c r="B16" s="169" t="s">
        <v>88</v>
      </c>
      <c r="C16" s="174">
        <f>ROUND('1. Статистика'!N19,3)</f>
        <v>1.7809999999999999</v>
      </c>
      <c r="D16" s="137">
        <f>ROUND('1. Статистика'!O19,3)</f>
        <v>1.742</v>
      </c>
      <c r="E16" s="137">
        <f>ROUND('1. Статистика'!P19,3)</f>
        <v>1.7450000000000001</v>
      </c>
      <c r="F16" s="176">
        <f>ROUND('1. Статистика'!Q19,3)</f>
        <v>1.7629999999999999</v>
      </c>
      <c r="G16" s="142">
        <f>ROUND(SUM(C16:F16),3)</f>
        <v>7.0309999999999997</v>
      </c>
      <c r="H16" s="174">
        <f>ROUND(C15,3)</f>
        <v>1.77</v>
      </c>
      <c r="I16" s="134">
        <f>ROUND(D15,3)</f>
        <v>1.7270000000000001</v>
      </c>
      <c r="J16" s="134">
        <f>ROUND(E15,3)</f>
        <v>1.73</v>
      </c>
      <c r="K16" s="175">
        <f>ROUND(F15,3)</f>
        <v>1.748</v>
      </c>
      <c r="L16" s="142">
        <f>ROUND(SUM(H16:K16),3)</f>
        <v>6.9749999999999996</v>
      </c>
      <c r="M16" s="174">
        <f>ROUND(H15,3)</f>
        <v>1.77</v>
      </c>
      <c r="N16" s="137">
        <f>ROUND(I15,3)</f>
        <v>1.7270000000000001</v>
      </c>
      <c r="O16" s="137">
        <f>ROUND(J15,3)</f>
        <v>1.73</v>
      </c>
      <c r="P16" s="176">
        <f>ROUND(K15,3)</f>
        <v>1.748</v>
      </c>
      <c r="Q16" s="142">
        <f>ROUND(SUM(M16:P16),3)</f>
        <v>6.9749999999999996</v>
      </c>
    </row>
    <row r="17" spans="1:22" s="273" customFormat="1" ht="14.45" customHeight="1" outlineLevel="1" x14ac:dyDescent="0.25">
      <c r="A17" s="182" t="s">
        <v>40</v>
      </c>
      <c r="B17" s="169" t="s">
        <v>88</v>
      </c>
      <c r="C17" s="58">
        <v>-1.0999999999999999E-2</v>
      </c>
      <c r="D17" s="65">
        <v>-1.4999999999999999E-2</v>
      </c>
      <c r="E17" s="65">
        <v>-1.4999999999999999E-2</v>
      </c>
      <c r="F17" s="179">
        <v>-1.4999999999999999E-2</v>
      </c>
      <c r="G17" s="142">
        <f>ROUND(SUM(C17:F17),3)</f>
        <v>-5.6000000000000001E-2</v>
      </c>
      <c r="H17" s="58"/>
      <c r="I17" s="65"/>
      <c r="J17" s="65"/>
      <c r="K17" s="179"/>
      <c r="L17" s="142">
        <f>ROUND(SUM(H17:K17),3)</f>
        <v>0</v>
      </c>
      <c r="M17" s="58"/>
      <c r="N17" s="65"/>
      <c r="O17" s="65"/>
      <c r="P17" s="179"/>
      <c r="Q17" s="142">
        <f>ROUND(SUM(M17:P17),3)</f>
        <v>0</v>
      </c>
    </row>
    <row r="18" spans="1:22" ht="15" customHeight="1" x14ac:dyDescent="0.25">
      <c r="A18" s="203" t="s">
        <v>36</v>
      </c>
      <c r="B18" s="238" t="s">
        <v>88</v>
      </c>
      <c r="C18" s="239">
        <f t="shared" ref="C18:Q18" si="0">ROUND(C9+C10+C15,3)</f>
        <v>3.5409999999999999</v>
      </c>
      <c r="D18" s="240">
        <f t="shared" si="0"/>
        <v>3.5409999999999999</v>
      </c>
      <c r="E18" s="240">
        <f t="shared" si="0"/>
        <v>3.5510000000000002</v>
      </c>
      <c r="F18" s="241">
        <f t="shared" si="0"/>
        <v>3.577</v>
      </c>
      <c r="G18" s="144">
        <f t="shared" si="0"/>
        <v>8.8659999999999997</v>
      </c>
      <c r="H18" s="239">
        <f t="shared" si="0"/>
        <v>3.621</v>
      </c>
      <c r="I18" s="240">
        <f t="shared" si="0"/>
        <v>3.621</v>
      </c>
      <c r="J18" s="240">
        <f t="shared" si="0"/>
        <v>3.6309999999999998</v>
      </c>
      <c r="K18" s="241">
        <f t="shared" si="0"/>
        <v>3.6589999999999998</v>
      </c>
      <c r="L18" s="144">
        <f t="shared" si="0"/>
        <v>8.9480000000000004</v>
      </c>
      <c r="M18" s="239">
        <f t="shared" si="0"/>
        <v>3.7029999999999998</v>
      </c>
      <c r="N18" s="240">
        <f t="shared" si="0"/>
        <v>3.7029999999999998</v>
      </c>
      <c r="O18" s="240">
        <f t="shared" si="0"/>
        <v>3.7130000000000001</v>
      </c>
      <c r="P18" s="241">
        <f t="shared" si="0"/>
        <v>3.7429999999999999</v>
      </c>
      <c r="Q18" s="144">
        <f t="shared" si="0"/>
        <v>9.032</v>
      </c>
      <c r="R18" s="54"/>
      <c r="S18" s="54"/>
      <c r="T18" s="54"/>
      <c r="U18" s="54"/>
      <c r="V18" s="54"/>
    </row>
    <row r="19" spans="1:22" s="12" customFormat="1" ht="17.25" customHeight="1" x14ac:dyDescent="0.25">
      <c r="A19" s="204" t="s">
        <v>65</v>
      </c>
      <c r="B19" s="242" t="s">
        <v>88</v>
      </c>
      <c r="C19" s="243">
        <f>ROUND('1. Статистика'!D44*$G$19,3)</f>
        <v>1.7629999999999999</v>
      </c>
      <c r="D19" s="244">
        <f>ROUND(G19-(C19+E19+F19),3)</f>
        <v>1.7629999999999999</v>
      </c>
      <c r="E19" s="244">
        <f>ROUND('1. Статистика'!F44*$G$19,3)</f>
        <v>1.7629999999999999</v>
      </c>
      <c r="F19" s="245">
        <f>ROUND('1. Статистика'!G44*$G$19,3)</f>
        <v>1.7629999999999999</v>
      </c>
      <c r="G19" s="145">
        <f>ROUND((G20*G21)/1000,3)</f>
        <v>7.0519999999999996</v>
      </c>
      <c r="H19" s="243">
        <f>ROUND('1. Статистика'!D44*$L$19,3)</f>
        <v>1.7629999999999999</v>
      </c>
      <c r="I19" s="244">
        <f>ROUND(L19-(H19+J19+K19),3)</f>
        <v>1.7629999999999999</v>
      </c>
      <c r="J19" s="244">
        <f>ROUND('1. Статистика'!F44*$L$19,3)</f>
        <v>1.7629999999999999</v>
      </c>
      <c r="K19" s="245">
        <f>ROUND('1. Статистика'!G44*$L$19,3)</f>
        <v>1.7629999999999999</v>
      </c>
      <c r="L19" s="145">
        <f>ROUND((L20*L21)/1000,3)</f>
        <v>7.0519999999999996</v>
      </c>
      <c r="M19" s="243">
        <f>ROUND('1. Статистика'!D44*$Q$19,3)</f>
        <v>1.7629999999999999</v>
      </c>
      <c r="N19" s="244">
        <f>ROUND(Q19-(M19+O19+P19),3)</f>
        <v>1.7629999999999999</v>
      </c>
      <c r="O19" s="244">
        <f>ROUND('1. Статистика'!F44*$Q$19,3)</f>
        <v>1.7629999999999999</v>
      </c>
      <c r="P19" s="245">
        <f>ROUND('1. Статистика'!G44*$Q$19,3)</f>
        <v>1.7629999999999999</v>
      </c>
      <c r="Q19" s="145">
        <f>ROUND((Q20*Q21)/1000,3)</f>
        <v>7.0519999999999996</v>
      </c>
      <c r="R19" s="54"/>
      <c r="S19" s="54"/>
      <c r="T19" s="54"/>
      <c r="U19" s="54"/>
      <c r="V19" s="54"/>
    </row>
    <row r="20" spans="1:22" s="54" customFormat="1" ht="30" outlineLevel="1" x14ac:dyDescent="0.25">
      <c r="A20" s="102" t="s">
        <v>116</v>
      </c>
      <c r="B20" s="169" t="s">
        <v>117</v>
      </c>
      <c r="C20" s="180"/>
      <c r="D20" s="168"/>
      <c r="E20" s="168"/>
      <c r="F20" s="181"/>
      <c r="G20" s="142">
        <f>ROUND('1. Статистика'!C57,3)</f>
        <v>7.0389999999999997</v>
      </c>
      <c r="H20" s="180"/>
      <c r="I20" s="168"/>
      <c r="J20" s="168"/>
      <c r="K20" s="181"/>
      <c r="L20" s="142">
        <f>ROUND('1. Статистика'!D57,3)</f>
        <v>7.0389999999999997</v>
      </c>
      <c r="M20" s="180"/>
      <c r="N20" s="168"/>
      <c r="O20" s="168"/>
      <c r="P20" s="181"/>
      <c r="Q20" s="142">
        <f>ROUND('1. Статистика'!E57,3)</f>
        <v>7.0389999999999997</v>
      </c>
    </row>
    <row r="21" spans="1:22" s="54" customFormat="1" outlineLevel="1" x14ac:dyDescent="0.25">
      <c r="A21" s="102" t="s">
        <v>113</v>
      </c>
      <c r="B21" s="169" t="s">
        <v>89</v>
      </c>
      <c r="C21" s="180"/>
      <c r="D21" s="168"/>
      <c r="E21" s="168"/>
      <c r="F21" s="181"/>
      <c r="G21" s="142">
        <f>ROUND('1. Статистика'!F52,3)</f>
        <v>1001.78</v>
      </c>
      <c r="H21" s="180"/>
      <c r="I21" s="168"/>
      <c r="J21" s="168"/>
      <c r="K21" s="181"/>
      <c r="L21" s="142">
        <f>ROUND('1. Статистика'!G52,3)</f>
        <v>1001.78</v>
      </c>
      <c r="M21" s="180"/>
      <c r="N21" s="168"/>
      <c r="O21" s="168"/>
      <c r="P21" s="181"/>
      <c r="Q21" s="142">
        <f>ROUND('1. Статистика'!H52,3)</f>
        <v>1001.78</v>
      </c>
    </row>
    <row r="22" spans="1:22" x14ac:dyDescent="0.25">
      <c r="A22" s="202" t="s">
        <v>18</v>
      </c>
      <c r="B22" s="246" t="s">
        <v>88</v>
      </c>
      <c r="C22" s="247">
        <f>ROUND('1. Статистика'!D45*$G$22,3)</f>
        <v>0</v>
      </c>
      <c r="D22" s="221">
        <f>ROUND(G22-(C22+E22+F22),3)</f>
        <v>0</v>
      </c>
      <c r="E22" s="221">
        <f>ROUND('1. Статистика'!F45*$G$22,3)</f>
        <v>0</v>
      </c>
      <c r="F22" s="248">
        <f>ROUND('1. Статистика'!G45*$G$22,3)</f>
        <v>0</v>
      </c>
      <c r="G22" s="146">
        <f>ROUND(G23*G18,3)</f>
        <v>0</v>
      </c>
      <c r="H22" s="247">
        <f>ROUND('1. Статистика'!D45*$L$22,3)</f>
        <v>0</v>
      </c>
      <c r="I22" s="221">
        <f>ROUND(L22-(H22+J22+K22),3)</f>
        <v>0</v>
      </c>
      <c r="J22" s="221">
        <f>ROUND('1. Статистика'!F45*$L$22,3)</f>
        <v>0</v>
      </c>
      <c r="K22" s="248">
        <f>ROUND('1. Статистика'!G45*$L$22,3)</f>
        <v>0</v>
      </c>
      <c r="L22" s="146">
        <f>ROUND(L23*L18,3)</f>
        <v>0</v>
      </c>
      <c r="M22" s="247">
        <f>ROUND('1. Статистика'!D45*$Q$22,3)</f>
        <v>0</v>
      </c>
      <c r="N22" s="221">
        <f>ROUND(Q22-(M22+O22+P22),3)</f>
        <v>0</v>
      </c>
      <c r="O22" s="221">
        <f>ROUND('1. Статистика'!F45*$Q$22,3)</f>
        <v>0</v>
      </c>
      <c r="P22" s="248">
        <f>ROUND('1. Статистика'!G45*$Q$22,3)</f>
        <v>0</v>
      </c>
      <c r="Q22" s="146">
        <f>ROUND(Q23*Q18,3)</f>
        <v>0</v>
      </c>
    </row>
    <row r="23" spans="1:22" s="11" customFormat="1" outlineLevel="1" x14ac:dyDescent="0.25">
      <c r="A23" s="182" t="s">
        <v>46</v>
      </c>
      <c r="B23" s="169" t="s">
        <v>102</v>
      </c>
      <c r="C23" s="294"/>
      <c r="D23" s="295"/>
      <c r="E23" s="295"/>
      <c r="F23" s="296"/>
      <c r="G23" s="405">
        <f>ROUND(IFERROR(('1. Статистика'!C22+'1. Статистика'!H22+'1. Статистика'!M22)/('1. Статистика'!C20+'1. Статистика'!H20+'1. Статистика'!M20),0),3)</f>
        <v>0</v>
      </c>
      <c r="H23" s="294"/>
      <c r="I23" s="295"/>
      <c r="J23" s="295"/>
      <c r="K23" s="296"/>
      <c r="L23" s="405">
        <f>ROUND(G23,3)</f>
        <v>0</v>
      </c>
      <c r="M23" s="294"/>
      <c r="N23" s="295"/>
      <c r="O23" s="295"/>
      <c r="P23" s="296"/>
      <c r="Q23" s="405">
        <f>ROUND(G23,3)</f>
        <v>0</v>
      </c>
    </row>
    <row r="24" spans="1:22" s="12" customFormat="1" x14ac:dyDescent="0.25">
      <c r="A24" s="202" t="s">
        <v>47</v>
      </c>
      <c r="B24" s="249" t="s">
        <v>88</v>
      </c>
      <c r="C24" s="243">
        <f>ROUND(C25+C26,3)</f>
        <v>0</v>
      </c>
      <c r="D24" s="250">
        <f>ROUND(D25+D26,3)</f>
        <v>0</v>
      </c>
      <c r="E24" s="250">
        <f>ROUND(E25+E26,3)</f>
        <v>0</v>
      </c>
      <c r="F24" s="251">
        <f>ROUND(F25+F26,3)</f>
        <v>0</v>
      </c>
      <c r="G24" s="143">
        <f>ROUND(SUM(G25:G26),3)</f>
        <v>0</v>
      </c>
      <c r="H24" s="243">
        <f>ROUND(H25+H26,3)</f>
        <v>0</v>
      </c>
      <c r="I24" s="250">
        <f>ROUND(I25+I26,3)</f>
        <v>0</v>
      </c>
      <c r="J24" s="250">
        <f>ROUND(J25+J26,3)</f>
        <v>0</v>
      </c>
      <c r="K24" s="251">
        <f>ROUND(K25+K26,3)</f>
        <v>0</v>
      </c>
      <c r="L24" s="143">
        <f>ROUND(SUM(L25:L26),3)</f>
        <v>0</v>
      </c>
      <c r="M24" s="243">
        <f>ROUND(M25+M26,3)</f>
        <v>0</v>
      </c>
      <c r="N24" s="250">
        <f>ROUND(N25+N26,3)</f>
        <v>0</v>
      </c>
      <c r="O24" s="250">
        <f>ROUND(O25+O26,3)</f>
        <v>0</v>
      </c>
      <c r="P24" s="251">
        <f>ROUND(P25+P26,3)</f>
        <v>0</v>
      </c>
      <c r="Q24" s="143">
        <f>ROUND(SUM(Q25:Q26),3)</f>
        <v>0</v>
      </c>
    </row>
    <row r="25" spans="1:22" s="54" customFormat="1" outlineLevel="1" x14ac:dyDescent="0.25">
      <c r="A25" s="182" t="s">
        <v>48</v>
      </c>
      <c r="B25" s="169" t="s">
        <v>88</v>
      </c>
      <c r="C25" s="174">
        <f>ROUND('1. Статистика'!N23,3)</f>
        <v>0</v>
      </c>
      <c r="D25" s="137">
        <f>ROUND('1. Статистика'!O23,3)</f>
        <v>0</v>
      </c>
      <c r="E25" s="137">
        <f>ROUND('1. Статистика'!P23,3)</f>
        <v>0</v>
      </c>
      <c r="F25" s="176">
        <f>ROUND('1. Статистика'!Q23,3)</f>
        <v>0</v>
      </c>
      <c r="G25" s="142">
        <f>ROUND(SUM(C25:F25),3)</f>
        <v>0</v>
      </c>
      <c r="H25" s="174">
        <f>ROUND(C24,3)</f>
        <v>0</v>
      </c>
      <c r="I25" s="137">
        <f>ROUND(D24,3)</f>
        <v>0</v>
      </c>
      <c r="J25" s="137">
        <f>ROUND(E24,3)</f>
        <v>0</v>
      </c>
      <c r="K25" s="176">
        <f>ROUND(F24,3)</f>
        <v>0</v>
      </c>
      <c r="L25" s="142">
        <f>ROUND(SUM(H25:K25),3)</f>
        <v>0</v>
      </c>
      <c r="M25" s="174">
        <f>ROUND(H24,3)</f>
        <v>0</v>
      </c>
      <c r="N25" s="137">
        <f>ROUND(I24,3)</f>
        <v>0</v>
      </c>
      <c r="O25" s="137">
        <f>ROUND(J24,3)</f>
        <v>0</v>
      </c>
      <c r="P25" s="176">
        <f>ROUND(K24,3)</f>
        <v>0</v>
      </c>
      <c r="Q25" s="142">
        <f>ROUND(SUM(M25:P25),3)</f>
        <v>0</v>
      </c>
    </row>
    <row r="26" spans="1:22" s="54" customFormat="1" outlineLevel="1" x14ac:dyDescent="0.25">
      <c r="A26" s="182" t="s">
        <v>49</v>
      </c>
      <c r="B26" s="169" t="s">
        <v>88</v>
      </c>
      <c r="C26" s="58"/>
      <c r="D26" s="57"/>
      <c r="E26" s="57"/>
      <c r="F26" s="173"/>
      <c r="G26" s="142">
        <f>ROUND(SUM(C26:F26),3)</f>
        <v>0</v>
      </c>
      <c r="H26" s="58"/>
      <c r="I26" s="57"/>
      <c r="J26" s="57"/>
      <c r="K26" s="173"/>
      <c r="L26" s="142">
        <f>ROUND(SUM(H26:K26),3)</f>
        <v>0</v>
      </c>
      <c r="M26" s="58"/>
      <c r="N26" s="57"/>
      <c r="O26" s="57"/>
      <c r="P26" s="173"/>
      <c r="Q26" s="142">
        <f>ROUND(SUM(M26:P26),3)</f>
        <v>0</v>
      </c>
    </row>
    <row r="27" spans="1:22" s="3" customFormat="1" ht="15" customHeight="1" x14ac:dyDescent="0.25">
      <c r="A27" s="203" t="s">
        <v>41</v>
      </c>
      <c r="B27" s="238" t="s">
        <v>88</v>
      </c>
      <c r="C27" s="239">
        <f t="shared" ref="C27:Q27" si="1">ROUND(C19+C24+C22,3)</f>
        <v>1.7629999999999999</v>
      </c>
      <c r="D27" s="252">
        <f t="shared" si="1"/>
        <v>1.7629999999999999</v>
      </c>
      <c r="E27" s="252">
        <f t="shared" si="1"/>
        <v>1.7629999999999999</v>
      </c>
      <c r="F27" s="253">
        <f t="shared" si="1"/>
        <v>1.7629999999999999</v>
      </c>
      <c r="G27" s="144">
        <f t="shared" si="1"/>
        <v>7.0519999999999996</v>
      </c>
      <c r="H27" s="239">
        <f t="shared" si="1"/>
        <v>1.7629999999999999</v>
      </c>
      <c r="I27" s="252">
        <f t="shared" si="1"/>
        <v>1.7629999999999999</v>
      </c>
      <c r="J27" s="252">
        <f t="shared" si="1"/>
        <v>1.7629999999999999</v>
      </c>
      <c r="K27" s="253">
        <f t="shared" si="1"/>
        <v>1.7629999999999999</v>
      </c>
      <c r="L27" s="144">
        <f t="shared" si="1"/>
        <v>7.0519999999999996</v>
      </c>
      <c r="M27" s="239">
        <f t="shared" si="1"/>
        <v>1.7629999999999999</v>
      </c>
      <c r="N27" s="252">
        <f t="shared" si="1"/>
        <v>1.7629999999999999</v>
      </c>
      <c r="O27" s="252">
        <f t="shared" si="1"/>
        <v>1.7629999999999999</v>
      </c>
      <c r="P27" s="253">
        <f t="shared" si="1"/>
        <v>1.7629999999999999</v>
      </c>
      <c r="Q27" s="144">
        <f t="shared" si="1"/>
        <v>7.0519999999999996</v>
      </c>
    </row>
    <row r="28" spans="1:22" ht="15.75" thickBot="1" x14ac:dyDescent="0.3">
      <c r="A28" s="205" t="s">
        <v>50</v>
      </c>
      <c r="B28" s="254" t="s">
        <v>88</v>
      </c>
      <c r="C28" s="255">
        <f t="shared" ref="C28:Q28" si="2">ROUND(C18-C27,3)</f>
        <v>1.778</v>
      </c>
      <c r="D28" s="256">
        <f t="shared" si="2"/>
        <v>1.778</v>
      </c>
      <c r="E28" s="256">
        <f t="shared" si="2"/>
        <v>1.788</v>
      </c>
      <c r="F28" s="257">
        <f t="shared" si="2"/>
        <v>1.8140000000000001</v>
      </c>
      <c r="G28" s="147">
        <f t="shared" si="2"/>
        <v>1.8140000000000001</v>
      </c>
      <c r="H28" s="255">
        <f t="shared" si="2"/>
        <v>1.8580000000000001</v>
      </c>
      <c r="I28" s="256">
        <f t="shared" si="2"/>
        <v>1.8580000000000001</v>
      </c>
      <c r="J28" s="256">
        <f t="shared" si="2"/>
        <v>1.8680000000000001</v>
      </c>
      <c r="K28" s="257">
        <f t="shared" si="2"/>
        <v>1.8959999999999999</v>
      </c>
      <c r="L28" s="147">
        <f t="shared" si="2"/>
        <v>1.8959999999999999</v>
      </c>
      <c r="M28" s="255">
        <f t="shared" si="2"/>
        <v>1.94</v>
      </c>
      <c r="N28" s="256">
        <f t="shared" si="2"/>
        <v>1.94</v>
      </c>
      <c r="O28" s="256">
        <f t="shared" si="2"/>
        <v>1.95</v>
      </c>
      <c r="P28" s="257">
        <f t="shared" si="2"/>
        <v>1.98</v>
      </c>
      <c r="Q28" s="147">
        <f t="shared" si="2"/>
        <v>1.98</v>
      </c>
    </row>
    <row r="29" spans="1:22" x14ac:dyDescent="0.25">
      <c r="C29" s="32"/>
      <c r="D29" s="32"/>
      <c r="E29" s="32"/>
      <c r="F29" s="32"/>
      <c r="G29" s="32"/>
      <c r="H29" s="259"/>
      <c r="I29" s="259"/>
      <c r="J29" s="259"/>
      <c r="K29" s="259"/>
      <c r="L29" s="32"/>
      <c r="M29" s="32"/>
      <c r="N29" s="32"/>
      <c r="O29" s="32"/>
      <c r="P29" s="32"/>
      <c r="Q29" s="32"/>
    </row>
    <row r="30" spans="1:22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22" ht="15" customHeight="1" x14ac:dyDescent="0.25">
      <c r="A31" s="192" t="s">
        <v>59</v>
      </c>
      <c r="B31" s="193"/>
      <c r="C31" s="198">
        <f t="shared" ref="C31:Q31" si="3">ROUND(C18-C27-C28,3)</f>
        <v>0</v>
      </c>
      <c r="D31" s="198">
        <f t="shared" si="3"/>
        <v>0</v>
      </c>
      <c r="E31" s="198">
        <f t="shared" si="3"/>
        <v>0</v>
      </c>
      <c r="F31" s="198">
        <f t="shared" si="3"/>
        <v>0</v>
      </c>
      <c r="G31" s="200">
        <f t="shared" si="3"/>
        <v>0</v>
      </c>
      <c r="H31" s="198">
        <f t="shared" si="3"/>
        <v>0</v>
      </c>
      <c r="I31" s="198">
        <f t="shared" si="3"/>
        <v>0</v>
      </c>
      <c r="J31" s="198">
        <f t="shared" si="3"/>
        <v>0</v>
      </c>
      <c r="K31" s="198">
        <f t="shared" si="3"/>
        <v>0</v>
      </c>
      <c r="L31" s="200">
        <f t="shared" si="3"/>
        <v>0</v>
      </c>
      <c r="M31" s="198">
        <f t="shared" si="3"/>
        <v>0</v>
      </c>
      <c r="N31" s="198">
        <f t="shared" si="3"/>
        <v>0</v>
      </c>
      <c r="O31" s="198">
        <f t="shared" si="3"/>
        <v>0</v>
      </c>
      <c r="P31" s="198">
        <f t="shared" si="3"/>
        <v>0</v>
      </c>
      <c r="Q31" s="200">
        <f t="shared" si="3"/>
        <v>0</v>
      </c>
      <c r="R31" s="195"/>
    </row>
    <row r="32" spans="1:22" x14ac:dyDescent="0.25">
      <c r="A32" s="196"/>
      <c r="B32" s="193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5"/>
    </row>
    <row r="33" spans="1:18" x14ac:dyDescent="0.25">
      <c r="A33" s="197"/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5"/>
    </row>
    <row r="34" spans="1:18" x14ac:dyDescent="0.25">
      <c r="A34" s="192" t="s">
        <v>51</v>
      </c>
      <c r="B34" s="193"/>
      <c r="C34" s="198">
        <f t="shared" ref="C34:Q34" si="4">ROUND(C9+C10+C15-C19-C22-C24-C28,3)</f>
        <v>0</v>
      </c>
      <c r="D34" s="198">
        <f t="shared" si="4"/>
        <v>0</v>
      </c>
      <c r="E34" s="198">
        <f t="shared" si="4"/>
        <v>0</v>
      </c>
      <c r="F34" s="198">
        <f t="shared" si="4"/>
        <v>0</v>
      </c>
      <c r="G34" s="200">
        <f t="shared" si="4"/>
        <v>0</v>
      </c>
      <c r="H34" s="198">
        <f t="shared" si="4"/>
        <v>0</v>
      </c>
      <c r="I34" s="198">
        <f t="shared" si="4"/>
        <v>0</v>
      </c>
      <c r="J34" s="198">
        <f t="shared" si="4"/>
        <v>0</v>
      </c>
      <c r="K34" s="198">
        <f t="shared" si="4"/>
        <v>0</v>
      </c>
      <c r="L34" s="200">
        <f t="shared" si="4"/>
        <v>0</v>
      </c>
      <c r="M34" s="198">
        <f t="shared" si="4"/>
        <v>0</v>
      </c>
      <c r="N34" s="198">
        <f t="shared" si="4"/>
        <v>0</v>
      </c>
      <c r="O34" s="198">
        <f t="shared" si="4"/>
        <v>0</v>
      </c>
      <c r="P34" s="198">
        <f t="shared" si="4"/>
        <v>0</v>
      </c>
      <c r="Q34" s="200">
        <f t="shared" si="4"/>
        <v>0</v>
      </c>
      <c r="R34" s="195"/>
    </row>
    <row r="35" spans="1:18" x14ac:dyDescent="0.25"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92"/>
    </row>
    <row r="158" spans="5:5" ht="15" customHeight="1" x14ac:dyDescent="0.25">
      <c r="E158" s="18">
        <f>E121-E33+'2. Прогноз. Без корректировки'!D158</f>
        <v>0</v>
      </c>
    </row>
  </sheetData>
  <sheetProtection algorithmName="SHA-512" hashValue="hSjXo6/745BWUqVdHmeeKMewlhA1A9vwY9iR1cd5va9bMFphcQY/XWIqAelmcxesrYkIRApCPmJa+bfvMTb68w==" saltValue="oMPF3TFPPehEXj7+skHHFQ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phoneticPr fontId="17" type="noConversion"/>
  <dataValidations count="3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15:L17 G15:G17 Q15:Q18 G24 L24 Q24">
      <formula1>-1000000000</formula1>
    </dataValidation>
    <dataValidation type="decimal" operator="greaterThan" allowBlank="1" showInputMessage="1" showErrorMessage="1" sqref="G18 L18 C11:F26 H11:K26 M11:P26">
      <formula1>-1000000000</formula1>
    </dataValidation>
    <dataValidation type="decimal" allowBlank="1" showInputMessage="1" showErrorMessage="1" sqref="G23 L23 Q23">
      <formula1>-1000000000</formula1>
      <formula2>1000000000000000</formula2>
    </dataValidation>
  </dataValidations>
  <printOptions horizontalCentered="1"/>
  <pageMargins left="3.937007874015748E-2" right="3.937007874015748E-2" top="0.55118110236220474" bottom="0.55118110236220474" header="0.31496062992125984" footer="0.31496062992125984"/>
  <pageSetup paperSize="9" scale="53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</sheetPr>
  <dimension ref="A1:Q34"/>
  <sheetViews>
    <sheetView showGridLines="0" view="pageBreakPreview" zoomScale="60" zoomScaleNormal="100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M37" sqref="M37"/>
    </sheetView>
  </sheetViews>
  <sheetFormatPr defaultRowHeight="15" outlineLevelRow="1" outlineLevelCol="1" x14ac:dyDescent="0.25"/>
  <cols>
    <col min="1" max="1" width="49.42578125" customWidth="1"/>
    <col min="2" max="2" width="10.5703125" customWidth="1"/>
    <col min="3" max="6" width="13.85546875" customWidth="1" outlineLevel="1"/>
    <col min="7" max="7" width="13.85546875" customWidth="1"/>
    <col min="8" max="11" width="13.85546875" customWidth="1" outlineLevel="1"/>
    <col min="12" max="12" width="13.85546875" customWidth="1"/>
    <col min="13" max="16" width="13.85546875" customWidth="1" outlineLevel="1"/>
    <col min="17" max="17" width="13.85546875" customWidth="1"/>
  </cols>
  <sheetData>
    <row r="1" spans="1:17" x14ac:dyDescent="0.25">
      <c r="A1" s="107"/>
      <c r="B1" s="108" t="s">
        <v>9</v>
      </c>
    </row>
    <row r="2" spans="1:17" x14ac:dyDescent="0.25">
      <c r="A2" s="109" t="s">
        <v>8</v>
      </c>
      <c r="B2" s="110"/>
    </row>
    <row r="3" spans="1:17" x14ac:dyDescent="0.25">
      <c r="A3" s="109" t="s">
        <v>54</v>
      </c>
      <c r="B3" s="140"/>
    </row>
    <row r="4" spans="1:17" x14ac:dyDescent="0.25">
      <c r="A4" s="111"/>
      <c r="B4" s="112"/>
    </row>
    <row r="5" spans="1:17" x14ac:dyDescent="0.25">
      <c r="A5" s="111"/>
      <c r="B5" s="112"/>
    </row>
    <row r="6" spans="1:17" ht="15.75" thickBot="1" x14ac:dyDescent="0.3"/>
    <row r="7" spans="1:17" ht="18" customHeight="1" x14ac:dyDescent="0.25">
      <c r="A7" s="449" t="s">
        <v>14</v>
      </c>
      <c r="B7" s="451" t="s">
        <v>35</v>
      </c>
      <c r="C7" s="444" t="str">
        <f>YEAR(Date)&amp;" год"</f>
        <v>2021 год</v>
      </c>
      <c r="D7" s="445"/>
      <c r="E7" s="445"/>
      <c r="F7" s="446"/>
      <c r="G7" s="453" t="str">
        <f>C7</f>
        <v>2021 год</v>
      </c>
      <c r="H7" s="444" t="str">
        <f>(LEFT(C7,4)+1)&amp;" год"</f>
        <v>2022 год</v>
      </c>
      <c r="I7" s="445"/>
      <c r="J7" s="445"/>
      <c r="K7" s="446"/>
      <c r="L7" s="453" t="str">
        <f>H7</f>
        <v>2022 год</v>
      </c>
      <c r="M7" s="444" t="str">
        <f>(LEFT(H7,4)+1)&amp;" год"</f>
        <v>2023 год</v>
      </c>
      <c r="N7" s="445"/>
      <c r="O7" s="445"/>
      <c r="P7" s="446"/>
      <c r="Q7" s="447" t="str">
        <f>M7</f>
        <v>2023 год</v>
      </c>
    </row>
    <row r="8" spans="1:17" ht="15.75" thickBot="1" x14ac:dyDescent="0.3">
      <c r="A8" s="450"/>
      <c r="B8" s="452"/>
      <c r="C8" s="364" t="s">
        <v>0</v>
      </c>
      <c r="D8" s="365" t="s">
        <v>1</v>
      </c>
      <c r="E8" s="365" t="s">
        <v>2</v>
      </c>
      <c r="F8" s="366" t="s">
        <v>3</v>
      </c>
      <c r="G8" s="454"/>
      <c r="H8" s="364" t="s">
        <v>0</v>
      </c>
      <c r="I8" s="365" t="s">
        <v>1</v>
      </c>
      <c r="J8" s="365" t="s">
        <v>2</v>
      </c>
      <c r="K8" s="366" t="s">
        <v>3</v>
      </c>
      <c r="L8" s="454"/>
      <c r="M8" s="364" t="s">
        <v>0</v>
      </c>
      <c r="N8" s="365" t="s">
        <v>1</v>
      </c>
      <c r="O8" s="365" t="s">
        <v>2</v>
      </c>
      <c r="P8" s="366" t="s">
        <v>3</v>
      </c>
      <c r="Q8" s="448"/>
    </row>
    <row r="9" spans="1:17" x14ac:dyDescent="0.25">
      <c r="A9" s="201" t="s">
        <v>37</v>
      </c>
      <c r="B9" s="258" t="s">
        <v>88</v>
      </c>
      <c r="C9" s="206">
        <f>ROUND(G9,3)</f>
        <v>1.734</v>
      </c>
      <c r="D9" s="207">
        <f>ROUND(C28,3)</f>
        <v>1.778</v>
      </c>
      <c r="E9" s="207">
        <f>ROUND(D28,3)</f>
        <v>1.778</v>
      </c>
      <c r="F9" s="208">
        <f>ROUND(E28,3)</f>
        <v>1.788</v>
      </c>
      <c r="G9" s="132">
        <f>ROUND('1. Статистика'!AK36,3)</f>
        <v>1.734</v>
      </c>
      <c r="H9" s="206">
        <f>ROUND(L9,3)</f>
        <v>1.8140000000000001</v>
      </c>
      <c r="I9" s="207">
        <f>ROUND(H28,3)</f>
        <v>1.8580000000000001</v>
      </c>
      <c r="J9" s="207">
        <f>ROUND(I28,3)</f>
        <v>1.8580000000000001</v>
      </c>
      <c r="K9" s="208">
        <f>ROUND(J28,3)</f>
        <v>1.8680000000000001</v>
      </c>
      <c r="L9" s="132">
        <f>ROUND(F28,3)</f>
        <v>1.8140000000000001</v>
      </c>
      <c r="M9" s="206">
        <f>ROUND(Q9,3)</f>
        <v>1.8959999999999999</v>
      </c>
      <c r="N9" s="207">
        <f>ROUND(M28,3)</f>
        <v>1.94</v>
      </c>
      <c r="O9" s="207">
        <f>ROUND(N28,3)</f>
        <v>1.94</v>
      </c>
      <c r="P9" s="208">
        <f>ROUND(O28,3)</f>
        <v>1.95</v>
      </c>
      <c r="Q9" s="132">
        <f>ROUND(K28,3)</f>
        <v>1.8959999999999999</v>
      </c>
    </row>
    <row r="10" spans="1:17" x14ac:dyDescent="0.25">
      <c r="A10" s="202" t="s">
        <v>90</v>
      </c>
      <c r="B10" s="232" t="s">
        <v>88</v>
      </c>
      <c r="C10" s="209">
        <f>ROUND(C11+C12-C13+C14,3)</f>
        <v>3.6999999999999998E-2</v>
      </c>
      <c r="D10" s="209">
        <f>ROUND(D11+D12-D13+D14,3)</f>
        <v>3.5999999999999997E-2</v>
      </c>
      <c r="E10" s="209">
        <f>ROUND(E11+E12-E13+E14,3)</f>
        <v>4.2999999999999997E-2</v>
      </c>
      <c r="F10" s="210">
        <f>ROUND(F11+F12-F13+F14,3)</f>
        <v>4.1000000000000002E-2</v>
      </c>
      <c r="G10" s="133">
        <f>ROUND(SUM(C10:F10),3)</f>
        <v>0.157</v>
      </c>
      <c r="H10" s="209">
        <f>ROUND(H11+H12-H13+H14,3)</f>
        <v>3.6999999999999998E-2</v>
      </c>
      <c r="I10" s="209">
        <f>ROUND(I11+I12-I13+I14,3)</f>
        <v>3.5999999999999997E-2</v>
      </c>
      <c r="J10" s="209">
        <f>ROUND(J11+J12-J13+J14,3)</f>
        <v>4.2999999999999997E-2</v>
      </c>
      <c r="K10" s="210">
        <f>ROUND(K11+K12-K13+K14,3)</f>
        <v>4.2999999999999997E-2</v>
      </c>
      <c r="L10" s="133">
        <f>ROUND(SUM(H10:K10),3)</f>
        <v>0.159</v>
      </c>
      <c r="M10" s="209">
        <f>ROUND(M11+M12-M13+M14,3)</f>
        <v>3.6999999999999998E-2</v>
      </c>
      <c r="N10" s="209">
        <f>ROUND(N11+N12-N13+N14,3)</f>
        <v>3.5999999999999997E-2</v>
      </c>
      <c r="O10" s="209">
        <f>ROUND(O11+O12-O13+O14,3)</f>
        <v>4.2999999999999997E-2</v>
      </c>
      <c r="P10" s="210">
        <f>ROUND(P11+P12-P13+P14,3)</f>
        <v>4.4999999999999998E-2</v>
      </c>
      <c r="Q10" s="133">
        <f>ROUND(SUM(M10:P10),3)</f>
        <v>0.161</v>
      </c>
    </row>
    <row r="11" spans="1:17" s="3" customFormat="1" ht="30" outlineLevel="1" x14ac:dyDescent="0.25">
      <c r="A11" s="102" t="s">
        <v>42</v>
      </c>
      <c r="B11" s="169" t="s">
        <v>88</v>
      </c>
      <c r="C11" s="134">
        <f>ROUND('1. Статистика'!N18,3)</f>
        <v>3.6999999999999998E-2</v>
      </c>
      <c r="D11" s="134">
        <f>ROUND('1. Статистика'!O18,3)</f>
        <v>3.5999999999999997E-2</v>
      </c>
      <c r="E11" s="134">
        <f>ROUND('1. Статистика'!P18,3)</f>
        <v>4.2999999999999997E-2</v>
      </c>
      <c r="F11" s="135">
        <f>ROUND('1. Статистика'!Q18,3)</f>
        <v>4.1000000000000002E-2</v>
      </c>
      <c r="G11" s="136">
        <f>ROUND(SUM(C11:F11),3)</f>
        <v>0.157</v>
      </c>
      <c r="H11" s="134">
        <f>ROUND(C10,3)</f>
        <v>3.6999999999999998E-2</v>
      </c>
      <c r="I11" s="134">
        <f>ROUND(D10,3)</f>
        <v>3.5999999999999997E-2</v>
      </c>
      <c r="J11" s="134">
        <f>ROUND(E10,3)</f>
        <v>4.2999999999999997E-2</v>
      </c>
      <c r="K11" s="135">
        <f>ROUND(F10,3)</f>
        <v>4.1000000000000002E-2</v>
      </c>
      <c r="L11" s="136">
        <f>ROUND(SUM(H11:K11),3)</f>
        <v>0.157</v>
      </c>
      <c r="M11" s="134">
        <f>ROUND(H10,3)</f>
        <v>3.6999999999999998E-2</v>
      </c>
      <c r="N11" s="134">
        <f>ROUND(I10,3)</f>
        <v>3.5999999999999997E-2</v>
      </c>
      <c r="O11" s="134">
        <f>ROUND(J10,3)</f>
        <v>4.2999999999999997E-2</v>
      </c>
      <c r="P11" s="135">
        <f>ROUND(K10,3)</f>
        <v>4.2999999999999997E-2</v>
      </c>
      <c r="Q11" s="136">
        <f>ROUND(SUM(M11:P11),3)</f>
        <v>0.159</v>
      </c>
    </row>
    <row r="12" spans="1:17" s="3" customFormat="1" ht="45" outlineLevel="1" x14ac:dyDescent="0.25">
      <c r="A12" s="102" t="s">
        <v>43</v>
      </c>
      <c r="B12" s="169" t="s">
        <v>88</v>
      </c>
      <c r="C12" s="134">
        <f>ROUND('1. Статистика'!D11,3)</f>
        <v>0</v>
      </c>
      <c r="D12" s="137">
        <f>ROUND('1. Статистика'!E11,3)</f>
        <v>0</v>
      </c>
      <c r="E12" s="137">
        <f>ROUND('1. Статистика'!F11,3)</f>
        <v>0</v>
      </c>
      <c r="F12" s="138">
        <f>ROUND('1. Статистика'!G11,3)</f>
        <v>0</v>
      </c>
      <c r="G12" s="136">
        <f>ROUND(SUM(C12:F12),3)</f>
        <v>0</v>
      </c>
      <c r="H12" s="134">
        <f>ROUND('1. Статистика'!I11,3)</f>
        <v>0</v>
      </c>
      <c r="I12" s="137">
        <f>ROUND('1. Статистика'!J11,3)</f>
        <v>0</v>
      </c>
      <c r="J12" s="137">
        <f>ROUND('1. Статистика'!K11,3)</f>
        <v>0</v>
      </c>
      <c r="K12" s="138">
        <f>ROUND('1. Статистика'!L11,3)</f>
        <v>0</v>
      </c>
      <c r="L12" s="136">
        <f>ROUND(SUM(H12:K12),3)</f>
        <v>0</v>
      </c>
      <c r="M12" s="134">
        <f>ROUND('1. Статистика'!N11,3)</f>
        <v>0</v>
      </c>
      <c r="N12" s="137">
        <f>ROUND('1. Статистика'!O11,3)</f>
        <v>0</v>
      </c>
      <c r="O12" s="137">
        <f>ROUND('1. Статистика'!P11,3)</f>
        <v>0</v>
      </c>
      <c r="P12" s="138">
        <f>ROUND('1. Статистика'!Q11,3)</f>
        <v>0</v>
      </c>
      <c r="Q12" s="136">
        <f>ROUND(SUM(M12:P12),3)</f>
        <v>0</v>
      </c>
    </row>
    <row r="13" spans="1:17" s="3" customFormat="1" ht="30" outlineLevel="1" x14ac:dyDescent="0.25">
      <c r="A13" s="102" t="s">
        <v>44</v>
      </c>
      <c r="B13" s="169" t="s">
        <v>88</v>
      </c>
      <c r="C13" s="134">
        <f>ROUND('2. Прогноз. Без корректировки'!C13,3)</f>
        <v>0</v>
      </c>
      <c r="D13" s="137">
        <f>ROUND('2. Прогноз. Без корректировки'!D13,3)</f>
        <v>0</v>
      </c>
      <c r="E13" s="137">
        <f>ROUND('2. Прогноз. Без корректировки'!E13,3)</f>
        <v>0</v>
      </c>
      <c r="F13" s="138">
        <f>ROUND('2. Прогноз. Без корректировки'!F13,3)</f>
        <v>0</v>
      </c>
      <c r="G13" s="136">
        <f>ROUND(SUM(C13:F13),3)</f>
        <v>0</v>
      </c>
      <c r="H13" s="134">
        <f>ROUND('2. Прогноз. Без корректировки'!H13,3)</f>
        <v>0</v>
      </c>
      <c r="I13" s="137">
        <f>ROUND('2. Прогноз. Без корректировки'!I13,3)</f>
        <v>0</v>
      </c>
      <c r="J13" s="137">
        <f>ROUND('2. Прогноз. Без корректировки'!J13,3)</f>
        <v>0</v>
      </c>
      <c r="K13" s="138">
        <f>ROUND('2. Прогноз. Без корректировки'!K13,3)</f>
        <v>0</v>
      </c>
      <c r="L13" s="136">
        <f>ROUND(SUM(H13:K13),3)</f>
        <v>0</v>
      </c>
      <c r="M13" s="134">
        <f>ROUND('2. Прогноз. Без корректировки'!M13,3)</f>
        <v>0</v>
      </c>
      <c r="N13" s="137">
        <f>ROUND('2. Прогноз. Без корректировки'!N13,3)</f>
        <v>0</v>
      </c>
      <c r="O13" s="137">
        <f>ROUND('2. Прогноз. Без корректировки'!O13,3)</f>
        <v>0</v>
      </c>
      <c r="P13" s="138">
        <f>ROUND('2. Прогноз. Без корректировки'!P13,3)</f>
        <v>0</v>
      </c>
      <c r="Q13" s="136">
        <f>ROUND(SUM(M13:P13),3)</f>
        <v>0</v>
      </c>
    </row>
    <row r="14" spans="1:17" s="3" customFormat="1" ht="27.95" customHeight="1" outlineLevel="1" x14ac:dyDescent="0.25">
      <c r="A14" s="102" t="s">
        <v>45</v>
      </c>
      <c r="B14" s="169" t="s">
        <v>88</v>
      </c>
      <c r="C14" s="134">
        <f>ROUND('2. Прогноз. Без корректировки'!C14,3)</f>
        <v>0</v>
      </c>
      <c r="D14" s="137">
        <f>ROUND('2. Прогноз. Без корректировки'!D14,3)</f>
        <v>0</v>
      </c>
      <c r="E14" s="137">
        <f>ROUND('2. Прогноз. Без корректировки'!E14,3)</f>
        <v>0</v>
      </c>
      <c r="F14" s="138">
        <f>ROUND('2. Прогноз. Без корректировки'!F14,3)</f>
        <v>0</v>
      </c>
      <c r="G14" s="136">
        <f>ROUND(SUM(C14:F14),3)</f>
        <v>0</v>
      </c>
      <c r="H14" s="134">
        <f>ROUND('2. Прогноз. Без корректировки'!H14,3)</f>
        <v>0</v>
      </c>
      <c r="I14" s="137">
        <f>ROUND('2. Прогноз. Без корректировки'!I14,3)</f>
        <v>0</v>
      </c>
      <c r="J14" s="137">
        <f>ROUND('2. Прогноз. Без корректировки'!J14,3)</f>
        <v>0</v>
      </c>
      <c r="K14" s="138">
        <f>ROUND('2. Прогноз. Без корректировки'!K14,3)</f>
        <v>2E-3</v>
      </c>
      <c r="L14" s="136">
        <f>ROUND(SUM(H14:K14),3)</f>
        <v>2E-3</v>
      </c>
      <c r="M14" s="134">
        <f>ROUND('2. Прогноз. Без корректировки'!M14,3)</f>
        <v>0</v>
      </c>
      <c r="N14" s="137">
        <f>ROUND('2. Прогноз. Без корректировки'!N14,3)</f>
        <v>0</v>
      </c>
      <c r="O14" s="137">
        <f>ROUND('2. Прогноз. Без корректировки'!O14,3)</f>
        <v>0</v>
      </c>
      <c r="P14" s="138">
        <f>ROUND('2. Прогноз. Без корректировки'!P14,3)</f>
        <v>2E-3</v>
      </c>
      <c r="Q14" s="136">
        <f>ROUND(SUM(M14:P14),3)</f>
        <v>2E-3</v>
      </c>
    </row>
    <row r="15" spans="1:17" x14ac:dyDescent="0.25">
      <c r="A15" s="202" t="s">
        <v>38</v>
      </c>
      <c r="B15" s="232" t="s">
        <v>88</v>
      </c>
      <c r="C15" s="209">
        <f>ROUND(C16+C17,3)</f>
        <v>1.77</v>
      </c>
      <c r="D15" s="211">
        <f>ROUND(D16+D17,3)</f>
        <v>1.7270000000000001</v>
      </c>
      <c r="E15" s="211">
        <f>ROUND(E16+E17,3)</f>
        <v>1.73</v>
      </c>
      <c r="F15" s="212">
        <f>ROUND(F16+F17,3)</f>
        <v>1.748</v>
      </c>
      <c r="G15" s="133">
        <f>ROUND(SUM(G16:G17),3)</f>
        <v>6.9749999999999996</v>
      </c>
      <c r="H15" s="209">
        <f>ROUND(H16+H17,3)</f>
        <v>1.77</v>
      </c>
      <c r="I15" s="211">
        <f>ROUND(I16+I17,3)</f>
        <v>1.7270000000000001</v>
      </c>
      <c r="J15" s="211">
        <f>ROUND(J16+J17,3)</f>
        <v>1.73</v>
      </c>
      <c r="K15" s="212">
        <f>ROUND(K16+K17,3)</f>
        <v>1.748</v>
      </c>
      <c r="L15" s="133">
        <f>ROUND(SUM(L16:L17),3)</f>
        <v>6.9749999999999996</v>
      </c>
      <c r="M15" s="209">
        <f>ROUND(M16+M17,3)</f>
        <v>1.77</v>
      </c>
      <c r="N15" s="211">
        <f>ROUND(N16+N17,3)</f>
        <v>1.7270000000000001</v>
      </c>
      <c r="O15" s="211">
        <f>ROUND(O16+O17,3)</f>
        <v>1.73</v>
      </c>
      <c r="P15" s="212">
        <f>ROUND(P16+P17,3)</f>
        <v>1.748</v>
      </c>
      <c r="Q15" s="133">
        <f>ROUND(SUM(Q16:Q17),3)</f>
        <v>6.9749999999999996</v>
      </c>
    </row>
    <row r="16" spans="1:17" s="3" customFormat="1" outlineLevel="1" x14ac:dyDescent="0.25">
      <c r="A16" s="182" t="s">
        <v>39</v>
      </c>
      <c r="B16" s="169" t="s">
        <v>88</v>
      </c>
      <c r="C16" s="134">
        <f>ROUND('1. Статистика'!N19,3)</f>
        <v>1.7809999999999999</v>
      </c>
      <c r="D16" s="137">
        <f>ROUND('1. Статистика'!O19,3)</f>
        <v>1.742</v>
      </c>
      <c r="E16" s="137">
        <f>ROUND('1. Статистика'!P19,3)</f>
        <v>1.7450000000000001</v>
      </c>
      <c r="F16" s="138">
        <f>ROUND('1. Статистика'!Q19,3)</f>
        <v>1.7629999999999999</v>
      </c>
      <c r="G16" s="136">
        <f>ROUND(SUM(C16:F16),3)</f>
        <v>7.0309999999999997</v>
      </c>
      <c r="H16" s="134">
        <f>ROUND(C15,3)</f>
        <v>1.77</v>
      </c>
      <c r="I16" s="137">
        <f>ROUND(D15,3)</f>
        <v>1.7270000000000001</v>
      </c>
      <c r="J16" s="137">
        <f>ROUND(E15,3)</f>
        <v>1.73</v>
      </c>
      <c r="K16" s="138">
        <f>ROUND(F15,3)</f>
        <v>1.748</v>
      </c>
      <c r="L16" s="136">
        <f>ROUND(SUM(H16:K16),3)</f>
        <v>6.9749999999999996</v>
      </c>
      <c r="M16" s="134">
        <f>ROUND(H15,3)</f>
        <v>1.77</v>
      </c>
      <c r="N16" s="137">
        <f>ROUND(I15,3)</f>
        <v>1.7270000000000001</v>
      </c>
      <c r="O16" s="137">
        <f>ROUND(J15,3)</f>
        <v>1.73</v>
      </c>
      <c r="P16" s="138">
        <f>ROUND(K15,3)</f>
        <v>1.748</v>
      </c>
      <c r="Q16" s="136">
        <f>ROUND(SUM(M16:P16),3)</f>
        <v>6.9749999999999996</v>
      </c>
    </row>
    <row r="17" spans="1:17" s="3" customFormat="1" outlineLevel="1" x14ac:dyDescent="0.25">
      <c r="A17" s="182" t="s">
        <v>40</v>
      </c>
      <c r="B17" s="169" t="s">
        <v>88</v>
      </c>
      <c r="C17" s="134">
        <f>ROUND('1. Статистика'!C75-C16,3)</f>
        <v>-1.0999999999999999E-2</v>
      </c>
      <c r="D17" s="137">
        <f>ROUND('1. Статистика'!D75-D16,3)</f>
        <v>-1.4999999999999999E-2</v>
      </c>
      <c r="E17" s="137">
        <f>ROUND('1. Статистика'!E75-E16,3)</f>
        <v>-1.4999999999999999E-2</v>
      </c>
      <c r="F17" s="138">
        <f>ROUND('1. Статистика'!F75-F16,3)</f>
        <v>-1.4999999999999999E-2</v>
      </c>
      <c r="G17" s="136">
        <f>ROUND(SUM(C17:F17),3)</f>
        <v>-5.6000000000000001E-2</v>
      </c>
      <c r="H17" s="134">
        <f>ROUND('1. Статистика'!G75-H16,3)</f>
        <v>0</v>
      </c>
      <c r="I17" s="137">
        <f>ROUND('1. Статистика'!H75-I16,3)</f>
        <v>0</v>
      </c>
      <c r="J17" s="137">
        <f>ROUND('1. Статистика'!I75-J16,3)</f>
        <v>0</v>
      </c>
      <c r="K17" s="138">
        <f>ROUND('1. Статистика'!J75-K16,3)</f>
        <v>0</v>
      </c>
      <c r="L17" s="136">
        <f>ROUND(SUM(H17:K17),3)</f>
        <v>0</v>
      </c>
      <c r="M17" s="134">
        <f>ROUND('1. Статистика'!K75-M16,3)</f>
        <v>0</v>
      </c>
      <c r="N17" s="137">
        <f>ROUND('1. Статистика'!L75-N16,3)</f>
        <v>0</v>
      </c>
      <c r="O17" s="137">
        <f>ROUND('1. Статистика'!M75-O16,3)</f>
        <v>0</v>
      </c>
      <c r="P17" s="138">
        <f>ROUND('1. Статистика'!N75-P16,3)</f>
        <v>0</v>
      </c>
      <c r="Q17" s="136">
        <f>ROUND(SUM(M17:P17),3)</f>
        <v>0</v>
      </c>
    </row>
    <row r="18" spans="1:17" x14ac:dyDescent="0.25">
      <c r="A18" s="203" t="s">
        <v>36</v>
      </c>
      <c r="B18" s="238" t="s">
        <v>88</v>
      </c>
      <c r="C18" s="213">
        <f t="shared" ref="C18:Q18" si="0">ROUND(C9+C10+C15,3)</f>
        <v>3.5409999999999999</v>
      </c>
      <c r="D18" s="214">
        <f t="shared" si="0"/>
        <v>3.5409999999999999</v>
      </c>
      <c r="E18" s="214">
        <f t="shared" si="0"/>
        <v>3.5510000000000002</v>
      </c>
      <c r="F18" s="215">
        <f t="shared" si="0"/>
        <v>3.577</v>
      </c>
      <c r="G18" s="139">
        <f t="shared" si="0"/>
        <v>8.8659999999999997</v>
      </c>
      <c r="H18" s="213">
        <f t="shared" si="0"/>
        <v>3.621</v>
      </c>
      <c r="I18" s="214">
        <f t="shared" si="0"/>
        <v>3.621</v>
      </c>
      <c r="J18" s="214">
        <f t="shared" si="0"/>
        <v>3.6309999999999998</v>
      </c>
      <c r="K18" s="215">
        <f t="shared" si="0"/>
        <v>3.6589999999999998</v>
      </c>
      <c r="L18" s="139">
        <f t="shared" si="0"/>
        <v>8.9480000000000004</v>
      </c>
      <c r="M18" s="213">
        <f t="shared" si="0"/>
        <v>3.7029999999999998</v>
      </c>
      <c r="N18" s="214">
        <f t="shared" si="0"/>
        <v>3.7029999999999998</v>
      </c>
      <c r="O18" s="214">
        <f t="shared" si="0"/>
        <v>3.7130000000000001</v>
      </c>
      <c r="P18" s="215">
        <f t="shared" si="0"/>
        <v>3.7429999999999999</v>
      </c>
      <c r="Q18" s="139">
        <f t="shared" si="0"/>
        <v>9.032</v>
      </c>
    </row>
    <row r="19" spans="1:17" x14ac:dyDescent="0.25">
      <c r="A19" s="204" t="s">
        <v>65</v>
      </c>
      <c r="B19" s="242" t="s">
        <v>88</v>
      </c>
      <c r="C19" s="216">
        <f>ROUND('2. Прогноз. Без корректировки'!C19,3)</f>
        <v>1.7629999999999999</v>
      </c>
      <c r="D19" s="216">
        <f>ROUND('2. Прогноз. Без корректировки'!D19,3)</f>
        <v>1.7629999999999999</v>
      </c>
      <c r="E19" s="216">
        <f>ROUND('2. Прогноз. Без корректировки'!E19,3)</f>
        <v>1.7629999999999999</v>
      </c>
      <c r="F19" s="217">
        <f>ROUND('2. Прогноз. Без корректировки'!F19,3)</f>
        <v>1.7629999999999999</v>
      </c>
      <c r="G19" s="133">
        <f>ROUND('2. Прогноз. Без корректировки'!G19,3)</f>
        <v>7.0519999999999996</v>
      </c>
      <c r="H19" s="216">
        <f>ROUND('2. Прогноз. Без корректировки'!H19,3)</f>
        <v>1.7629999999999999</v>
      </c>
      <c r="I19" s="216">
        <f>ROUND('2. Прогноз. Без корректировки'!I19,3)</f>
        <v>1.7629999999999999</v>
      </c>
      <c r="J19" s="216">
        <f>ROUND('2. Прогноз. Без корректировки'!J19,3)</f>
        <v>1.7629999999999999</v>
      </c>
      <c r="K19" s="217">
        <f>ROUND('2. Прогноз. Без корректировки'!K19,3)</f>
        <v>1.7629999999999999</v>
      </c>
      <c r="L19" s="133">
        <f>ROUND('2. Прогноз. Без корректировки'!L19,3)</f>
        <v>7.0519999999999996</v>
      </c>
      <c r="M19" s="216">
        <f>ROUND('2. Прогноз. Без корректировки'!M19,3)</f>
        <v>1.7629999999999999</v>
      </c>
      <c r="N19" s="216">
        <f>ROUND('2. Прогноз. Без корректировки'!N19,3)</f>
        <v>1.7629999999999999</v>
      </c>
      <c r="O19" s="216">
        <f>ROUND('2. Прогноз. Без корректировки'!O19,3)</f>
        <v>1.7629999999999999</v>
      </c>
      <c r="P19" s="217">
        <f>ROUND('2. Прогноз. Без корректировки'!P19,3)</f>
        <v>1.7629999999999999</v>
      </c>
      <c r="Q19" s="133">
        <f>ROUND('2. Прогноз. Без корректировки'!Q19,3)</f>
        <v>7.0519999999999996</v>
      </c>
    </row>
    <row r="20" spans="1:17" s="3" customFormat="1" ht="27.95" customHeight="1" outlineLevel="1" x14ac:dyDescent="0.25">
      <c r="A20" s="102" t="s">
        <v>116</v>
      </c>
      <c r="B20" s="169" t="s">
        <v>117</v>
      </c>
      <c r="C20" s="218"/>
      <c r="D20" s="218"/>
      <c r="E20" s="218"/>
      <c r="F20" s="219"/>
      <c r="G20" s="136">
        <f>ROUND('2. Прогноз. Без корректировки'!G20,3)</f>
        <v>7.0389999999999997</v>
      </c>
      <c r="H20" s="218"/>
      <c r="I20" s="218"/>
      <c r="J20" s="218"/>
      <c r="K20" s="219"/>
      <c r="L20" s="136">
        <f>ROUND('2. Прогноз. Без корректировки'!L20,3)</f>
        <v>7.0389999999999997</v>
      </c>
      <c r="M20" s="218"/>
      <c r="N20" s="218"/>
      <c r="O20" s="218"/>
      <c r="P20" s="219"/>
      <c r="Q20" s="136">
        <f>ROUND('2. Прогноз. Без корректировки'!Q20,3)</f>
        <v>7.0389999999999997</v>
      </c>
    </row>
    <row r="21" spans="1:17" s="3" customFormat="1" ht="14.45" customHeight="1" outlineLevel="1" x14ac:dyDescent="0.25">
      <c r="A21" s="102" t="s">
        <v>113</v>
      </c>
      <c r="B21" s="169" t="s">
        <v>89</v>
      </c>
      <c r="C21" s="218"/>
      <c r="D21" s="218"/>
      <c r="E21" s="218"/>
      <c r="F21" s="219"/>
      <c r="G21" s="136">
        <f>ROUND('2. Прогноз. Без корректировки'!G21,3)</f>
        <v>1001.78</v>
      </c>
      <c r="H21" s="218"/>
      <c r="I21" s="218"/>
      <c r="J21" s="218"/>
      <c r="K21" s="219"/>
      <c r="L21" s="136">
        <f>ROUND('2. Прогноз. Без корректировки'!L21,3)</f>
        <v>1001.78</v>
      </c>
      <c r="M21" s="218"/>
      <c r="N21" s="218"/>
      <c r="O21" s="218"/>
      <c r="P21" s="219"/>
      <c r="Q21" s="136">
        <f>ROUND('2. Прогноз. Без корректировки'!Q21,3)</f>
        <v>1001.78</v>
      </c>
    </row>
    <row r="22" spans="1:17" x14ac:dyDescent="0.25">
      <c r="A22" s="202" t="s">
        <v>18</v>
      </c>
      <c r="B22" s="246" t="s">
        <v>88</v>
      </c>
      <c r="C22" s="220">
        <f>ROUND('2. Прогноз. Без корректировки'!C22,3)</f>
        <v>0</v>
      </c>
      <c r="D22" s="221">
        <f>ROUND('2. Прогноз. Без корректировки'!D22,3)</f>
        <v>0</v>
      </c>
      <c r="E22" s="221">
        <f>ROUND('2. Прогноз. Без корректировки'!E22,3)</f>
        <v>0</v>
      </c>
      <c r="F22" s="222">
        <f>ROUND('2. Прогноз. Без корректировки'!F22,3)</f>
        <v>0</v>
      </c>
      <c r="G22" s="133">
        <f>ROUND('2. Прогноз. Без корректировки'!G22,3)</f>
        <v>0</v>
      </c>
      <c r="H22" s="220">
        <f>ROUND('2. Прогноз. Без корректировки'!H22,3)</f>
        <v>0</v>
      </c>
      <c r="I22" s="221">
        <f>ROUND('2. Прогноз. Без корректировки'!I22,3)</f>
        <v>0</v>
      </c>
      <c r="J22" s="221">
        <f>ROUND('2. Прогноз. Без корректировки'!J22,3)</f>
        <v>0</v>
      </c>
      <c r="K22" s="222">
        <f>ROUND('2. Прогноз. Без корректировки'!K22,3)</f>
        <v>0</v>
      </c>
      <c r="L22" s="133">
        <f>ROUND('2. Прогноз. Без корректировки'!L22,3)</f>
        <v>0</v>
      </c>
      <c r="M22" s="220">
        <f>ROUND('2. Прогноз. Без корректировки'!M22,3)</f>
        <v>0</v>
      </c>
      <c r="N22" s="221">
        <f>ROUND('2. Прогноз. Без корректировки'!N22,3)</f>
        <v>0</v>
      </c>
      <c r="O22" s="221">
        <f>ROUND('2. Прогноз. Без корректировки'!O22,3)</f>
        <v>0</v>
      </c>
      <c r="P22" s="222">
        <f>ROUND('2. Прогноз. Без корректировки'!P22,3)</f>
        <v>0</v>
      </c>
      <c r="Q22" s="133">
        <f>ROUND('2. Прогноз. Без корректировки'!Q22,3)</f>
        <v>0</v>
      </c>
    </row>
    <row r="23" spans="1:17" outlineLevel="1" x14ac:dyDescent="0.25">
      <c r="A23" s="182" t="s">
        <v>46</v>
      </c>
      <c r="B23" s="169" t="s">
        <v>102</v>
      </c>
      <c r="C23" s="355"/>
      <c r="D23" s="295"/>
      <c r="E23" s="295"/>
      <c r="F23" s="356"/>
      <c r="G23" s="297">
        <f>ROUND('2. Прогноз. Без корректировки'!G23,3)</f>
        <v>0</v>
      </c>
      <c r="H23" s="355"/>
      <c r="I23" s="295"/>
      <c r="J23" s="295"/>
      <c r="K23" s="356"/>
      <c r="L23" s="297">
        <f>ROUND('2. Прогноз. Без корректировки'!L23,3)</f>
        <v>0</v>
      </c>
      <c r="M23" s="355"/>
      <c r="N23" s="295"/>
      <c r="O23" s="295"/>
      <c r="P23" s="356"/>
      <c r="Q23" s="297">
        <f>ROUND('2. Прогноз. Без корректировки'!Q23,3)</f>
        <v>0</v>
      </c>
    </row>
    <row r="24" spans="1:17" x14ac:dyDescent="0.25">
      <c r="A24" s="202" t="s">
        <v>47</v>
      </c>
      <c r="B24" s="249" t="s">
        <v>88</v>
      </c>
      <c r="C24" s="216">
        <f>ROUND(C25+C26,3)</f>
        <v>0</v>
      </c>
      <c r="D24" s="223">
        <f>ROUND(D25+D26,3)</f>
        <v>0</v>
      </c>
      <c r="E24" s="223">
        <f>ROUND(E25+E26,3)</f>
        <v>0</v>
      </c>
      <c r="F24" s="224">
        <f>ROUND(F25+F26,3)</f>
        <v>0</v>
      </c>
      <c r="G24" s="133">
        <f>ROUND(SUM(G25:G26),3)</f>
        <v>0</v>
      </c>
      <c r="H24" s="216">
        <f>ROUND(H25+H26,3)</f>
        <v>0</v>
      </c>
      <c r="I24" s="223">
        <f>ROUND(I25+I26,3)</f>
        <v>0</v>
      </c>
      <c r="J24" s="223">
        <f>ROUND(J25+J26,3)</f>
        <v>0</v>
      </c>
      <c r="K24" s="224">
        <f>ROUND(K25+K26,3)</f>
        <v>0</v>
      </c>
      <c r="L24" s="133">
        <f>ROUND(SUM(L25:L26),3)</f>
        <v>0</v>
      </c>
      <c r="M24" s="216">
        <f>ROUND(M25+M26,3)</f>
        <v>0</v>
      </c>
      <c r="N24" s="223">
        <f>ROUND(N25+N26,3)</f>
        <v>0</v>
      </c>
      <c r="O24" s="223">
        <f>ROUND(O25+O26,3)</f>
        <v>0</v>
      </c>
      <c r="P24" s="224">
        <f>ROUND(P25+P26,3)</f>
        <v>0</v>
      </c>
      <c r="Q24" s="133">
        <f>ROUND(SUM(Q25:Q26),3)</f>
        <v>0</v>
      </c>
    </row>
    <row r="25" spans="1:17" s="3" customFormat="1" outlineLevel="1" x14ac:dyDescent="0.25">
      <c r="A25" s="182" t="s">
        <v>48</v>
      </c>
      <c r="B25" s="169" t="s">
        <v>88</v>
      </c>
      <c r="C25" s="134">
        <f>ROUND('1. Статистика'!N23,3)</f>
        <v>0</v>
      </c>
      <c r="D25" s="137">
        <f>ROUND('1. Статистика'!O23,3)</f>
        <v>0</v>
      </c>
      <c r="E25" s="137">
        <f>ROUND('1. Статистика'!P23,3)</f>
        <v>0</v>
      </c>
      <c r="F25" s="138">
        <f>ROUND('1. Статистика'!Q23,3)</f>
        <v>0</v>
      </c>
      <c r="G25" s="136">
        <f>ROUND(SUM(C25:F25),3)</f>
        <v>0</v>
      </c>
      <c r="H25" s="134">
        <f>ROUND(C24,3)</f>
        <v>0</v>
      </c>
      <c r="I25" s="137">
        <f>ROUND(D24,3)</f>
        <v>0</v>
      </c>
      <c r="J25" s="137">
        <f>ROUND(E24,3)</f>
        <v>0</v>
      </c>
      <c r="K25" s="138">
        <f>ROUND(F24,3)</f>
        <v>0</v>
      </c>
      <c r="L25" s="136">
        <f>ROUND(SUM(H25:K25),3)</f>
        <v>0</v>
      </c>
      <c r="M25" s="134">
        <f>ROUND(H24,3)</f>
        <v>0</v>
      </c>
      <c r="N25" s="137">
        <f>ROUND(I24,3)</f>
        <v>0</v>
      </c>
      <c r="O25" s="137">
        <f>ROUND(J24,3)</f>
        <v>0</v>
      </c>
      <c r="P25" s="138">
        <f>ROUND(K24,3)</f>
        <v>0</v>
      </c>
      <c r="Q25" s="136">
        <f>ROUND(SUM(M25:P25),3)</f>
        <v>0</v>
      </c>
    </row>
    <row r="26" spans="1:17" s="3" customFormat="1" outlineLevel="1" x14ac:dyDescent="0.25">
      <c r="A26" s="182" t="s">
        <v>49</v>
      </c>
      <c r="B26" s="169" t="s">
        <v>88</v>
      </c>
      <c r="C26" s="134">
        <f>ROUND('1. Статистика'!C76-C25,3)</f>
        <v>0</v>
      </c>
      <c r="D26" s="137">
        <f>ROUND('1. Статистика'!D76-D25,3)</f>
        <v>0</v>
      </c>
      <c r="E26" s="137">
        <f>ROUND('1. Статистика'!E76-E25,3)</f>
        <v>0</v>
      </c>
      <c r="F26" s="138">
        <f>ROUND('1. Статистика'!F76-F25,3)</f>
        <v>0</v>
      </c>
      <c r="G26" s="136">
        <f>ROUND(SUM(C26:F26),3)</f>
        <v>0</v>
      </c>
      <c r="H26" s="134">
        <f>ROUND('1. Статистика'!G76-H25,3)</f>
        <v>0</v>
      </c>
      <c r="I26" s="137">
        <f>ROUND('1. Статистика'!H76-I25,3)</f>
        <v>0</v>
      </c>
      <c r="J26" s="137">
        <f>ROUND('1. Статистика'!I76-J25,3)</f>
        <v>0</v>
      </c>
      <c r="K26" s="138">
        <f>ROUND('1. Статистика'!J76-K25,3)</f>
        <v>0</v>
      </c>
      <c r="L26" s="136">
        <f>ROUND(SUM(H26:K26),3)</f>
        <v>0</v>
      </c>
      <c r="M26" s="134">
        <f>ROUND('1. Статистика'!K76-M25,3)</f>
        <v>0</v>
      </c>
      <c r="N26" s="137">
        <f>ROUND('1. Статистика'!L76-N25,3)</f>
        <v>0</v>
      </c>
      <c r="O26" s="137">
        <f>ROUND('1. Статистика'!M76-O25,3)</f>
        <v>0</v>
      </c>
      <c r="P26" s="138">
        <f>ROUND('1. Статистика'!N76-P25,3)</f>
        <v>0</v>
      </c>
      <c r="Q26" s="136">
        <f>ROUND(SUM(M26:P26),3)</f>
        <v>0</v>
      </c>
    </row>
    <row r="27" spans="1:17" x14ac:dyDescent="0.25">
      <c r="A27" s="203" t="s">
        <v>41</v>
      </c>
      <c r="B27" s="238" t="s">
        <v>88</v>
      </c>
      <c r="C27" s="213">
        <f t="shared" ref="C27:Q27" si="1">ROUND(C19+C24+C22,3)</f>
        <v>1.7629999999999999</v>
      </c>
      <c r="D27" s="213">
        <f t="shared" si="1"/>
        <v>1.7629999999999999</v>
      </c>
      <c r="E27" s="213">
        <f t="shared" si="1"/>
        <v>1.7629999999999999</v>
      </c>
      <c r="F27" s="225">
        <f t="shared" si="1"/>
        <v>1.7629999999999999</v>
      </c>
      <c r="G27" s="139">
        <f t="shared" si="1"/>
        <v>7.0519999999999996</v>
      </c>
      <c r="H27" s="213">
        <f t="shared" si="1"/>
        <v>1.7629999999999999</v>
      </c>
      <c r="I27" s="213">
        <f t="shared" si="1"/>
        <v>1.7629999999999999</v>
      </c>
      <c r="J27" s="213">
        <f t="shared" si="1"/>
        <v>1.7629999999999999</v>
      </c>
      <c r="K27" s="225">
        <f t="shared" si="1"/>
        <v>1.7629999999999999</v>
      </c>
      <c r="L27" s="139">
        <f t="shared" si="1"/>
        <v>7.0519999999999996</v>
      </c>
      <c r="M27" s="213">
        <f t="shared" si="1"/>
        <v>1.7629999999999999</v>
      </c>
      <c r="N27" s="213">
        <f t="shared" si="1"/>
        <v>1.7629999999999999</v>
      </c>
      <c r="O27" s="213">
        <f t="shared" si="1"/>
        <v>1.7629999999999999</v>
      </c>
      <c r="P27" s="225">
        <f t="shared" si="1"/>
        <v>1.7629999999999999</v>
      </c>
      <c r="Q27" s="139">
        <f t="shared" si="1"/>
        <v>7.0519999999999996</v>
      </c>
    </row>
    <row r="28" spans="1:17" ht="15.75" thickBot="1" x14ac:dyDescent="0.3">
      <c r="A28" s="205" t="s">
        <v>50</v>
      </c>
      <c r="B28" s="254" t="s">
        <v>88</v>
      </c>
      <c r="C28" s="226">
        <f t="shared" ref="C28:Q28" si="2">ROUND(C18-C27,3)</f>
        <v>1.778</v>
      </c>
      <c r="D28" s="227">
        <f t="shared" si="2"/>
        <v>1.778</v>
      </c>
      <c r="E28" s="227">
        <f t="shared" si="2"/>
        <v>1.788</v>
      </c>
      <c r="F28" s="228">
        <f t="shared" si="2"/>
        <v>1.8140000000000001</v>
      </c>
      <c r="G28" s="141">
        <f t="shared" si="2"/>
        <v>1.8140000000000001</v>
      </c>
      <c r="H28" s="226">
        <f t="shared" si="2"/>
        <v>1.8580000000000001</v>
      </c>
      <c r="I28" s="227">
        <f t="shared" si="2"/>
        <v>1.8580000000000001</v>
      </c>
      <c r="J28" s="227">
        <f t="shared" si="2"/>
        <v>1.8680000000000001</v>
      </c>
      <c r="K28" s="228">
        <f t="shared" si="2"/>
        <v>1.8959999999999999</v>
      </c>
      <c r="L28" s="141">
        <f t="shared" si="2"/>
        <v>1.8959999999999999</v>
      </c>
      <c r="M28" s="226">
        <f t="shared" si="2"/>
        <v>1.94</v>
      </c>
      <c r="N28" s="227">
        <f t="shared" si="2"/>
        <v>1.94</v>
      </c>
      <c r="O28" s="227">
        <f t="shared" si="2"/>
        <v>1.95</v>
      </c>
      <c r="P28" s="228">
        <f t="shared" si="2"/>
        <v>1.98</v>
      </c>
      <c r="Q28" s="141">
        <f t="shared" si="2"/>
        <v>1.98</v>
      </c>
    </row>
    <row r="29" spans="1:17" x14ac:dyDescent="0.25">
      <c r="A29" s="10"/>
      <c r="B29" s="18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x14ac:dyDescent="0.25">
      <c r="A30" s="10"/>
      <c r="B30" s="18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x14ac:dyDescent="0.25">
      <c r="A31" s="192" t="s">
        <v>59</v>
      </c>
      <c r="B31" s="193"/>
      <c r="C31" s="198">
        <f t="shared" ref="C31:Q31" si="3">ROUND(C18-C27-C28,3)</f>
        <v>0</v>
      </c>
      <c r="D31" s="198">
        <f t="shared" si="3"/>
        <v>0</v>
      </c>
      <c r="E31" s="198">
        <f t="shared" si="3"/>
        <v>0</v>
      </c>
      <c r="F31" s="198">
        <f t="shared" si="3"/>
        <v>0</v>
      </c>
      <c r="G31" s="200">
        <f t="shared" si="3"/>
        <v>0</v>
      </c>
      <c r="H31" s="198">
        <f t="shared" si="3"/>
        <v>0</v>
      </c>
      <c r="I31" s="198">
        <f t="shared" si="3"/>
        <v>0</v>
      </c>
      <c r="J31" s="198">
        <f t="shared" si="3"/>
        <v>0</v>
      </c>
      <c r="K31" s="198">
        <f t="shared" si="3"/>
        <v>0</v>
      </c>
      <c r="L31" s="200">
        <f t="shared" si="3"/>
        <v>0</v>
      </c>
      <c r="M31" s="198">
        <f t="shared" si="3"/>
        <v>0</v>
      </c>
      <c r="N31" s="198">
        <f t="shared" si="3"/>
        <v>0</v>
      </c>
      <c r="O31" s="198">
        <f t="shared" si="3"/>
        <v>0</v>
      </c>
      <c r="P31" s="198">
        <f t="shared" si="3"/>
        <v>0</v>
      </c>
      <c r="Q31" s="200">
        <f t="shared" si="3"/>
        <v>0</v>
      </c>
    </row>
    <row r="32" spans="1:17" x14ac:dyDescent="0.25">
      <c r="A32" s="30"/>
      <c r="B32" s="18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</row>
    <row r="33" spans="1:17" x14ac:dyDescent="0.25">
      <c r="A33" s="10"/>
      <c r="B33" s="18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</row>
    <row r="34" spans="1:17" x14ac:dyDescent="0.25">
      <c r="A34" s="192" t="s">
        <v>51</v>
      </c>
      <c r="B34" s="193"/>
      <c r="C34" s="198">
        <f t="shared" ref="C34:Q34" si="4">ROUND(C9+C10+C15-C19-C22-C24-C28,3)</f>
        <v>0</v>
      </c>
      <c r="D34" s="198">
        <f t="shared" si="4"/>
        <v>0</v>
      </c>
      <c r="E34" s="198">
        <f t="shared" si="4"/>
        <v>0</v>
      </c>
      <c r="F34" s="198">
        <f t="shared" si="4"/>
        <v>0</v>
      </c>
      <c r="G34" s="200">
        <f t="shared" si="4"/>
        <v>0</v>
      </c>
      <c r="H34" s="198">
        <f t="shared" si="4"/>
        <v>0</v>
      </c>
      <c r="I34" s="198">
        <f t="shared" si="4"/>
        <v>0</v>
      </c>
      <c r="J34" s="198">
        <f t="shared" si="4"/>
        <v>0</v>
      </c>
      <c r="K34" s="198">
        <f t="shared" si="4"/>
        <v>0</v>
      </c>
      <c r="L34" s="200">
        <f t="shared" si="4"/>
        <v>0</v>
      </c>
      <c r="M34" s="198">
        <f t="shared" si="4"/>
        <v>0</v>
      </c>
      <c r="N34" s="198">
        <f t="shared" si="4"/>
        <v>0</v>
      </c>
      <c r="O34" s="198">
        <f t="shared" si="4"/>
        <v>0</v>
      </c>
      <c r="P34" s="198">
        <f t="shared" si="4"/>
        <v>0</v>
      </c>
      <c r="Q34" s="200">
        <f t="shared" si="4"/>
        <v>0</v>
      </c>
    </row>
  </sheetData>
  <sheetProtection algorithmName="SHA-512" hashValue="28Ia/UzuXN+qQAkzPQG2vVBrxS/dW1Uf2Q97Q3R6BNBhRPKx6BiLXKbde6MZ99Fhe/FeRzeGhSX0+l/6AtTM/A==" saltValue="p9MbiR/AyLOHVH0zqfwlzQ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phoneticPr fontId="17" type="noConversion"/>
  <dataValidations count="3">
    <dataValidation type="decimal" operator="greaterThan" allowBlank="1" showInputMessage="1" showErrorMessage="1" sqref="C12:F14 M11:P14 H20:K26 Q22 H11:K14 G22 L22 C20:F26 C17:F18 M17:P18 H17:K18 M20:P26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15:L18 G15:G18 Q15:Q18 G24 L24 Q24">
      <formula1>-1000000000</formula1>
    </dataValidation>
    <dataValidation operator="greaterThan" allowBlank="1" showInputMessage="1" showErrorMessage="1" sqref="C11:F11 C19:Q19"/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24"/>
  <sheetViews>
    <sheetView topLeftCell="B1" zoomScale="115" zoomScaleNormal="115" workbookViewId="0">
      <selection activeCell="R1" sqref="R1"/>
    </sheetView>
  </sheetViews>
  <sheetFormatPr defaultRowHeight="15" x14ac:dyDescent="0.25"/>
  <cols>
    <col min="1" max="1" width="40" customWidth="1"/>
    <col min="2" max="5" width="13" customWidth="1"/>
    <col min="6" max="6" width="10" customWidth="1"/>
    <col min="7" max="10" width="13" customWidth="1"/>
    <col min="11" max="11" width="10" customWidth="1"/>
    <col min="12" max="15" width="13" customWidth="1"/>
    <col min="16" max="16" width="10" customWidth="1"/>
    <col min="18" max="18" width="11.140625" bestFit="1" customWidth="1"/>
  </cols>
  <sheetData>
    <row r="1" spans="1:18" ht="15.6" customHeight="1" x14ac:dyDescent="0.25">
      <c r="B1" s="199" t="s">
        <v>72</v>
      </c>
      <c r="C1" s="199" t="s">
        <v>73</v>
      </c>
      <c r="D1" s="199" t="s">
        <v>74</v>
      </c>
      <c r="E1" s="199" t="s">
        <v>75</v>
      </c>
      <c r="F1" s="199" t="s">
        <v>76</v>
      </c>
      <c r="G1" s="199" t="s">
        <v>77</v>
      </c>
      <c r="H1" s="199" t="s">
        <v>78</v>
      </c>
      <c r="I1" s="199" t="s">
        <v>79</v>
      </c>
      <c r="J1" s="199" t="s">
        <v>80</v>
      </c>
      <c r="K1" s="199" t="s">
        <v>81</v>
      </c>
      <c r="L1" s="199" t="s">
        <v>82</v>
      </c>
      <c r="M1" s="199" t="s">
        <v>83</v>
      </c>
      <c r="N1" s="199" t="s">
        <v>84</v>
      </c>
      <c r="O1" s="199" t="s">
        <v>85</v>
      </c>
      <c r="P1" s="199" t="s">
        <v>86</v>
      </c>
      <c r="Q1" s="86" t="s">
        <v>123</v>
      </c>
      <c r="R1" s="360">
        <v>44470</v>
      </c>
    </row>
    <row r="2" spans="1:18" ht="16.5" thickBot="1" x14ac:dyDescent="0.3"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R2">
        <f>IF(Date="","XXX",Date)</f>
        <v>44470</v>
      </c>
    </row>
    <row r="3" spans="1:18" x14ac:dyDescent="0.25">
      <c r="A3" s="458" t="s">
        <v>14</v>
      </c>
      <c r="B3" s="460" t="str">
        <f>YEAR(Test_date)&amp;" год"</f>
        <v>2021 год</v>
      </c>
      <c r="C3" s="461"/>
      <c r="D3" s="461"/>
      <c r="E3" s="462"/>
      <c r="F3" s="456" t="str">
        <f>B3</f>
        <v>2021 год</v>
      </c>
      <c r="G3" s="460" t="str">
        <f>(LEFT(B3,4)+1)&amp;" год"</f>
        <v>2022 год</v>
      </c>
      <c r="H3" s="461"/>
      <c r="I3" s="461"/>
      <c r="J3" s="462"/>
      <c r="K3" s="456" t="str">
        <f>G3</f>
        <v>2022 год</v>
      </c>
      <c r="L3" s="460" t="str">
        <f>(LEFT(G3,4)+1)&amp;" год"</f>
        <v>2023 год</v>
      </c>
      <c r="M3" s="461"/>
      <c r="N3" s="461"/>
      <c r="O3" s="462"/>
      <c r="P3" s="456" t="str">
        <f>L3</f>
        <v>2023 год</v>
      </c>
    </row>
    <row r="4" spans="1:18" ht="15.75" thickBot="1" x14ac:dyDescent="0.3">
      <c r="A4" s="459"/>
      <c r="B4" s="361">
        <v>1</v>
      </c>
      <c r="C4" s="362">
        <v>2</v>
      </c>
      <c r="D4" s="362">
        <v>3</v>
      </c>
      <c r="E4" s="363">
        <v>4</v>
      </c>
      <c r="F4" s="457"/>
      <c r="G4" s="361">
        <v>1</v>
      </c>
      <c r="H4" s="362">
        <v>2</v>
      </c>
      <c r="I4" s="362">
        <v>3</v>
      </c>
      <c r="J4" s="363">
        <v>4</v>
      </c>
      <c r="K4" s="457"/>
      <c r="L4" s="361">
        <v>1</v>
      </c>
      <c r="M4" s="362">
        <v>2</v>
      </c>
      <c r="N4" s="362">
        <v>3</v>
      </c>
      <c r="O4" s="363">
        <v>4</v>
      </c>
      <c r="P4" s="457"/>
      <c r="R4" s="15"/>
    </row>
    <row r="5" spans="1:18" ht="15.6" customHeight="1" x14ac:dyDescent="0.25">
      <c r="A5" s="85" t="s">
        <v>4</v>
      </c>
      <c r="B5" s="185">
        <f ca="1">ROUND(INDIRECT("'3.Прогноз.С корректировкой таб7'!"&amp;B$1:P$1&amp;$Q5),3)</f>
        <v>1.734</v>
      </c>
      <c r="C5" s="186"/>
      <c r="D5" s="186"/>
      <c r="E5" s="187"/>
      <c r="F5" s="188"/>
      <c r="G5" s="189"/>
      <c r="H5" s="186"/>
      <c r="I5" s="186"/>
      <c r="J5" s="187"/>
      <c r="K5" s="188"/>
      <c r="L5" s="189"/>
      <c r="M5" s="186"/>
      <c r="N5" s="186"/>
      <c r="O5" s="186"/>
      <c r="P5" s="84"/>
      <c r="Q5" s="78">
        <v>9</v>
      </c>
      <c r="R5" s="81"/>
    </row>
    <row r="6" spans="1:18" ht="15.6" customHeight="1" x14ac:dyDescent="0.25">
      <c r="A6" s="82" t="s">
        <v>6</v>
      </c>
      <c r="B6" s="185">
        <f t="shared" ref="B6:B7" ca="1" si="0">ROUND(INDIRECT("'3.Прогноз.С корректировкой таб7'!"&amp;B$1:P$1&amp;$Q6),3)</f>
        <v>3.6999999999999998E-2</v>
      </c>
      <c r="C6" s="185">
        <f t="shared" ref="C6:C7" ca="1" si="1">ROUND(INDIRECT("'3.Прогноз.С корректировкой таб7'!"&amp;C$1:Q$1&amp;$Q6),3)</f>
        <v>3.5999999999999997E-2</v>
      </c>
      <c r="D6" s="185">
        <f t="shared" ref="D6:D7" ca="1" si="2">ROUND(INDIRECT("'3.Прогноз.С корректировкой таб7'!"&amp;D$1:R$1&amp;$Q6),3)</f>
        <v>4.2999999999999997E-2</v>
      </c>
      <c r="E6" s="185">
        <f t="shared" ref="E6:E7" ca="1" si="3">ROUND(INDIRECT("'3.Прогноз.С корректировкой таб7'!"&amp;E$1:S$1&amp;$Q6),3)</f>
        <v>4.1000000000000002E-2</v>
      </c>
      <c r="F6" s="190"/>
      <c r="G6" s="185">
        <f t="shared" ref="G6:G7" ca="1" si="4">ROUND(INDIRECT("'3.Прогноз.С корректировкой таб7'!"&amp;G$1:U$1&amp;$Q6),3)</f>
        <v>3.6999999999999998E-2</v>
      </c>
      <c r="H6" s="185">
        <f t="shared" ref="H6:H7" ca="1" si="5">ROUND(INDIRECT("'3.Прогноз.С корректировкой таб7'!"&amp;H$1:V$1&amp;$Q6),3)</f>
        <v>3.5999999999999997E-2</v>
      </c>
      <c r="I6" s="185">
        <f t="shared" ref="I6:I7" ca="1" si="6">ROUND(INDIRECT("'3.Прогноз.С корректировкой таб7'!"&amp;I$1:W$1&amp;$Q6),3)</f>
        <v>4.2999999999999997E-2</v>
      </c>
      <c r="J6" s="185">
        <f t="shared" ref="J6:J7" ca="1" si="7">ROUND(INDIRECT("'3.Прогноз.С корректировкой таб7'!"&amp;J$1:X$1&amp;$Q6),3)</f>
        <v>4.2999999999999997E-2</v>
      </c>
      <c r="K6" s="190"/>
      <c r="L6" s="185">
        <f t="shared" ref="L6:L7" ca="1" si="8">ROUND(INDIRECT("'3.Прогноз.С корректировкой таб7'!"&amp;L$1:Z$1&amp;$Q6),3)</f>
        <v>3.6999999999999998E-2</v>
      </c>
      <c r="M6" s="185">
        <f t="shared" ref="M6:M7" ca="1" si="9">ROUND(INDIRECT("'3.Прогноз.С корректировкой таб7'!"&amp;M$1:AA$1&amp;$Q6),3)</f>
        <v>3.5999999999999997E-2</v>
      </c>
      <c r="N6" s="185">
        <f t="shared" ref="N6:N7" ca="1" si="10">ROUND(INDIRECT("'3.Прогноз.С корректировкой таб7'!"&amp;N$1:AB$1&amp;$Q6),3)</f>
        <v>4.2999999999999997E-2</v>
      </c>
      <c r="O6" s="185">
        <f t="shared" ref="O6:O7" ca="1" si="11">ROUND(INDIRECT("'3.Прогноз.С корректировкой таб7'!"&amp;O$1:AC$1&amp;$Q6),3)</f>
        <v>4.4999999999999998E-2</v>
      </c>
      <c r="P6" s="79"/>
      <c r="Q6" s="78">
        <v>10</v>
      </c>
      <c r="R6" s="81"/>
    </row>
    <row r="7" spans="1:18" ht="15.6" customHeight="1" x14ac:dyDescent="0.25">
      <c r="A7" s="82" t="s">
        <v>70</v>
      </c>
      <c r="B7" s="185">
        <f t="shared" ca="1" si="0"/>
        <v>1.77</v>
      </c>
      <c r="C7" s="185">
        <f t="shared" ca="1" si="1"/>
        <v>1.7270000000000001</v>
      </c>
      <c r="D7" s="185">
        <f t="shared" ca="1" si="2"/>
        <v>1.73</v>
      </c>
      <c r="E7" s="185">
        <f t="shared" ca="1" si="3"/>
        <v>1.748</v>
      </c>
      <c r="F7" s="190"/>
      <c r="G7" s="185">
        <f t="shared" ca="1" si="4"/>
        <v>1.77</v>
      </c>
      <c r="H7" s="185">
        <f t="shared" ca="1" si="5"/>
        <v>1.7270000000000001</v>
      </c>
      <c r="I7" s="185">
        <f t="shared" ca="1" si="6"/>
        <v>1.73</v>
      </c>
      <c r="J7" s="185">
        <f t="shared" ca="1" si="7"/>
        <v>1.748</v>
      </c>
      <c r="K7" s="190"/>
      <c r="L7" s="185">
        <f t="shared" ca="1" si="8"/>
        <v>1.77</v>
      </c>
      <c r="M7" s="185">
        <f t="shared" ca="1" si="9"/>
        <v>1.7270000000000001</v>
      </c>
      <c r="N7" s="185">
        <f t="shared" ca="1" si="10"/>
        <v>1.73</v>
      </c>
      <c r="O7" s="185">
        <f t="shared" ca="1" si="11"/>
        <v>1.748</v>
      </c>
      <c r="P7" s="79"/>
      <c r="Q7" s="83">
        <v>15</v>
      </c>
      <c r="R7" s="81"/>
    </row>
    <row r="8" spans="1:18" ht="15.6" customHeight="1" x14ac:dyDescent="0.25">
      <c r="A8" s="82" t="s">
        <v>69</v>
      </c>
      <c r="B8" s="191"/>
      <c r="C8" s="191"/>
      <c r="D8" s="191"/>
      <c r="E8" s="191"/>
      <c r="F8" s="190"/>
      <c r="G8" s="191"/>
      <c r="H8" s="191"/>
      <c r="I8" s="191"/>
      <c r="J8" s="191"/>
      <c r="K8" s="190"/>
      <c r="L8" s="191"/>
      <c r="M8" s="191"/>
      <c r="N8" s="191"/>
      <c r="O8" s="191"/>
      <c r="P8" s="79"/>
      <c r="Q8" s="78">
        <v>18</v>
      </c>
      <c r="R8" s="81"/>
    </row>
    <row r="9" spans="1:18" ht="15.6" customHeight="1" x14ac:dyDescent="0.25">
      <c r="A9" s="82" t="s">
        <v>71</v>
      </c>
      <c r="B9" s="185">
        <f ca="1">ROUND(INDIRECT("'3.Прогноз.С корректировкой таб7'!"&amp;B$1:P$1&amp;$Q9),3)</f>
        <v>1.7629999999999999</v>
      </c>
      <c r="C9" s="185">
        <f t="shared" ref="C9:E11" ca="1" si="12">ROUND(INDIRECT("'3.Прогноз.С корректировкой таб7'!"&amp;C$1:Q$1&amp;$Q9),3)</f>
        <v>1.7629999999999999</v>
      </c>
      <c r="D9" s="185">
        <f t="shared" ca="1" si="12"/>
        <v>1.7629999999999999</v>
      </c>
      <c r="E9" s="185">
        <f t="shared" ca="1" si="12"/>
        <v>1.7629999999999999</v>
      </c>
      <c r="F9" s="190"/>
      <c r="G9" s="185">
        <f ca="1">ROUND(INDIRECT("'3.Прогноз.С корректировкой таб7'!"&amp;G$1:U$1&amp;$Q9),3)</f>
        <v>1.7629999999999999</v>
      </c>
      <c r="H9" s="185">
        <f t="shared" ref="H9:H11" ca="1" si="13">ROUND(INDIRECT("'3.Прогноз.С корректировкой таб7'!"&amp;H$1:V$1&amp;$Q9),3)</f>
        <v>1.7629999999999999</v>
      </c>
      <c r="I9" s="185">
        <f t="shared" ref="I9:I11" ca="1" si="14">ROUND(INDIRECT("'3.Прогноз.С корректировкой таб7'!"&amp;I$1:W$1&amp;$Q9),3)</f>
        <v>1.7629999999999999</v>
      </c>
      <c r="J9" s="185">
        <f t="shared" ref="J9:J11" ca="1" si="15">ROUND(INDIRECT("'3.Прогноз.С корректировкой таб7'!"&amp;J$1:X$1&amp;$Q9),3)</f>
        <v>1.7629999999999999</v>
      </c>
      <c r="K9" s="190"/>
      <c r="L9" s="185">
        <f t="shared" ref="L9:L11" ca="1" si="16">ROUND(INDIRECT("'3.Прогноз.С корректировкой таб7'!"&amp;L$1:Z$1&amp;$Q9),3)</f>
        <v>1.7629999999999999</v>
      </c>
      <c r="M9" s="185">
        <f t="shared" ref="M9:M11" ca="1" si="17">ROUND(INDIRECT("'3.Прогноз.С корректировкой таб7'!"&amp;M$1:AA$1&amp;$Q9),3)</f>
        <v>1.7629999999999999</v>
      </c>
      <c r="N9" s="185">
        <f t="shared" ref="N9:N11" ca="1" si="18">ROUND(INDIRECT("'3.Прогноз.С корректировкой таб7'!"&amp;N$1:AB$1&amp;$Q9),3)</f>
        <v>1.7629999999999999</v>
      </c>
      <c r="O9" s="185">
        <f t="shared" ref="O9:O11" ca="1" si="19">ROUND(INDIRECT("'3.Прогноз.С корректировкой таб7'!"&amp;O$1:AC$1&amp;$Q9),3)</f>
        <v>1.7629999999999999</v>
      </c>
      <c r="P9" s="79"/>
      <c r="Q9" s="78">
        <v>19</v>
      </c>
      <c r="R9" s="81"/>
    </row>
    <row r="10" spans="1:18" ht="15.6" customHeight="1" x14ac:dyDescent="0.25">
      <c r="A10" s="82" t="s">
        <v>5</v>
      </c>
      <c r="B10" s="185">
        <f t="shared" ref="B10:B11" ca="1" si="20">ROUND(INDIRECT("'3.Прогноз.С корректировкой таб7'!"&amp;B$1:P$1&amp;$Q10),3)</f>
        <v>0</v>
      </c>
      <c r="C10" s="185">
        <f t="shared" ca="1" si="12"/>
        <v>0</v>
      </c>
      <c r="D10" s="185">
        <f t="shared" ca="1" si="12"/>
        <v>0</v>
      </c>
      <c r="E10" s="185">
        <f t="shared" ca="1" si="12"/>
        <v>0</v>
      </c>
      <c r="F10" s="190"/>
      <c r="G10" s="185">
        <f t="shared" ref="G10:G11" ca="1" si="21">ROUND(INDIRECT("'3.Прогноз.С корректировкой таб7'!"&amp;G$1:U$1&amp;$Q10),3)</f>
        <v>0</v>
      </c>
      <c r="H10" s="185">
        <f t="shared" ca="1" si="13"/>
        <v>0</v>
      </c>
      <c r="I10" s="185">
        <f t="shared" ca="1" si="14"/>
        <v>0</v>
      </c>
      <c r="J10" s="185">
        <f t="shared" ca="1" si="15"/>
        <v>0</v>
      </c>
      <c r="K10" s="190"/>
      <c r="L10" s="185">
        <f t="shared" ca="1" si="16"/>
        <v>0</v>
      </c>
      <c r="M10" s="185">
        <f t="shared" ca="1" si="17"/>
        <v>0</v>
      </c>
      <c r="N10" s="185">
        <f t="shared" ca="1" si="18"/>
        <v>0</v>
      </c>
      <c r="O10" s="185">
        <f t="shared" ca="1" si="19"/>
        <v>0</v>
      </c>
      <c r="P10" s="79"/>
      <c r="Q10" s="78">
        <v>22</v>
      </c>
      <c r="R10" s="81"/>
    </row>
    <row r="11" spans="1:18" ht="15.6" customHeight="1" x14ac:dyDescent="0.25">
      <c r="A11" s="82" t="s">
        <v>68</v>
      </c>
      <c r="B11" s="185">
        <f t="shared" ca="1" si="20"/>
        <v>0</v>
      </c>
      <c r="C11" s="185">
        <f t="shared" ca="1" si="12"/>
        <v>0</v>
      </c>
      <c r="D11" s="185">
        <f t="shared" ca="1" si="12"/>
        <v>0</v>
      </c>
      <c r="E11" s="185">
        <f t="shared" ca="1" si="12"/>
        <v>0</v>
      </c>
      <c r="F11" s="190"/>
      <c r="G11" s="185">
        <f t="shared" ca="1" si="21"/>
        <v>0</v>
      </c>
      <c r="H11" s="185">
        <f t="shared" ca="1" si="13"/>
        <v>0</v>
      </c>
      <c r="I11" s="185">
        <f t="shared" ca="1" si="14"/>
        <v>0</v>
      </c>
      <c r="J11" s="185">
        <f t="shared" ca="1" si="15"/>
        <v>0</v>
      </c>
      <c r="K11" s="190"/>
      <c r="L11" s="185">
        <f t="shared" ca="1" si="16"/>
        <v>0</v>
      </c>
      <c r="M11" s="185">
        <f t="shared" ca="1" si="17"/>
        <v>0</v>
      </c>
      <c r="N11" s="185">
        <f t="shared" ca="1" si="18"/>
        <v>0</v>
      </c>
      <c r="O11" s="185">
        <f t="shared" ca="1" si="19"/>
        <v>0</v>
      </c>
      <c r="P11" s="79"/>
      <c r="Q11" s="78">
        <v>24</v>
      </c>
      <c r="R11" s="81"/>
    </row>
    <row r="12" spans="1:18" ht="15.6" customHeight="1" x14ac:dyDescent="0.25">
      <c r="A12" s="82" t="s">
        <v>67</v>
      </c>
      <c r="B12" s="191"/>
      <c r="C12" s="191"/>
      <c r="D12" s="191"/>
      <c r="E12" s="191"/>
      <c r="F12" s="190"/>
      <c r="G12" s="191"/>
      <c r="H12" s="191"/>
      <c r="I12" s="191"/>
      <c r="J12" s="191"/>
      <c r="K12" s="190"/>
      <c r="L12" s="191"/>
      <c r="M12" s="191"/>
      <c r="N12" s="191"/>
      <c r="O12" s="191"/>
      <c r="P12" s="79"/>
      <c r="Q12" s="78">
        <v>27</v>
      </c>
      <c r="R12" s="81"/>
    </row>
    <row r="13" spans="1:18" ht="15.6" customHeight="1" thickBot="1" x14ac:dyDescent="0.3">
      <c r="A13" s="80" t="s">
        <v>7</v>
      </c>
      <c r="B13" s="185">
        <f ca="1">B5+B6+B7-B9-B10-B11</f>
        <v>1.778</v>
      </c>
      <c r="C13" s="185">
        <f ca="1">B13+C6+C7-C9-C10-C11</f>
        <v>1.7780000000000005</v>
      </c>
      <c r="D13" s="185">
        <f t="shared" ref="D13:E13" ca="1" si="22">C13+D6+D7-D9-D10-D11</f>
        <v>1.7880000000000003</v>
      </c>
      <c r="E13" s="185">
        <f t="shared" ca="1" si="22"/>
        <v>1.8140000000000001</v>
      </c>
      <c r="F13" s="190"/>
      <c r="G13" s="185">
        <f ca="1">E13+G6+G7-G9-G10-G11</f>
        <v>1.8580000000000001</v>
      </c>
      <c r="H13" s="185">
        <f ca="1">G13+H6+H7-H9-H10-H11</f>
        <v>1.8580000000000005</v>
      </c>
      <c r="I13" s="185">
        <f t="shared" ref="I13:J13" ca="1" si="23">H13+I6+I7-I9-I10-I11</f>
        <v>1.8680000000000003</v>
      </c>
      <c r="J13" s="185">
        <f t="shared" ca="1" si="23"/>
        <v>1.8960000000000004</v>
      </c>
      <c r="K13" s="190"/>
      <c r="L13" s="185">
        <f ca="1">J13+L6+L7-L9-L10-L11</f>
        <v>1.9400000000000004</v>
      </c>
      <c r="M13" s="185">
        <f ca="1">L13+M6+M7-M9-M10-M11</f>
        <v>1.9400000000000004</v>
      </c>
      <c r="N13" s="185">
        <f t="shared" ref="N13:O13" ca="1" si="24">M13+N6+N7-N9-N10-N11</f>
        <v>1.9500000000000002</v>
      </c>
      <c r="O13" s="185">
        <f t="shared" ca="1" si="24"/>
        <v>1.9800000000000004</v>
      </c>
      <c r="P13" s="79"/>
      <c r="Q13" s="78">
        <v>28</v>
      </c>
      <c r="R13" s="71"/>
    </row>
    <row r="14" spans="1:18" ht="15.6" customHeight="1" thickBot="1" x14ac:dyDescent="0.3">
      <c r="A14" s="77" t="s">
        <v>66</v>
      </c>
      <c r="B14" s="76"/>
      <c r="C14" s="74"/>
      <c r="D14" s="74"/>
      <c r="E14" s="73"/>
      <c r="F14" s="72"/>
      <c r="G14" s="75"/>
      <c r="H14" s="74"/>
      <c r="I14" s="74"/>
      <c r="J14" s="73"/>
      <c r="K14" s="72"/>
      <c r="L14" s="75"/>
      <c r="M14" s="74"/>
      <c r="N14" s="74"/>
      <c r="O14" s="73"/>
      <c r="P14" s="72"/>
      <c r="R14" s="71"/>
    </row>
    <row r="18" spans="1:3" x14ac:dyDescent="0.25">
      <c r="C18" s="15"/>
    </row>
    <row r="24" spans="1:3" x14ac:dyDescent="0.25">
      <c r="A24" s="70"/>
    </row>
  </sheetData>
  <sheetProtection algorithmName="SHA-512" hashValue="i6tSOgHYwgLX5uP8USv6+EvLtv7ifXbRzQSL84szXWYf64kJJlywNKum8QaR0kx9EvD3Fm9SEmwQij4EmnmwoA==" saltValue="HHoUXSV+YwX4A5tfg1JXbg==" spinCount="100000" sheet="1" objects="1" scenarios="1"/>
  <mergeCells count="8">
    <mergeCell ref="B2:P2"/>
    <mergeCell ref="P3:P4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3"/>
  <sheetViews>
    <sheetView tabSelected="1" view="pageBreakPreview" zoomScale="60" zoomScaleNormal="100" workbookViewId="0">
      <selection activeCell="M16" sqref="M16"/>
    </sheetView>
  </sheetViews>
  <sheetFormatPr defaultRowHeight="15" x14ac:dyDescent="0.25"/>
  <cols>
    <col min="1" max="1" width="36.28515625" customWidth="1"/>
    <col min="2" max="4" width="12.85546875" customWidth="1"/>
    <col min="5" max="5" width="56" customWidth="1"/>
    <col min="6" max="6" width="19.42578125" customWidth="1"/>
  </cols>
  <sheetData>
    <row r="1" spans="1:6" x14ac:dyDescent="0.25">
      <c r="A1" s="387"/>
      <c r="B1" s="387"/>
      <c r="C1" s="387"/>
      <c r="D1" s="387"/>
      <c r="E1" s="387"/>
    </row>
    <row r="2" spans="1:6" ht="20.25" x14ac:dyDescent="0.3">
      <c r="A2" s="463" t="s">
        <v>118</v>
      </c>
      <c r="B2" s="463"/>
      <c r="C2" s="463"/>
      <c r="D2" s="463"/>
      <c r="E2" s="463"/>
    </row>
    <row r="3" spans="1:6" ht="15.75" thickBot="1" x14ac:dyDescent="0.3">
      <c r="A3" s="388"/>
      <c r="B3" s="388"/>
      <c r="C3" s="388"/>
      <c r="D3" s="388"/>
      <c r="E3" s="388"/>
    </row>
    <row r="4" spans="1:6" ht="37.9" customHeight="1" thickBot="1" x14ac:dyDescent="0.3">
      <c r="A4" s="389" t="s">
        <v>119</v>
      </c>
      <c r="B4" s="389" t="str">
        <f>(YEAR(Test_date)-1)&amp;" год"</f>
        <v>2020 год</v>
      </c>
      <c r="C4" s="389" t="str">
        <f>(LEFT(B4,4)+1)&amp;" год"</f>
        <v>2021 год</v>
      </c>
      <c r="D4" s="389" t="s">
        <v>120</v>
      </c>
      <c r="E4" s="390" t="s">
        <v>121</v>
      </c>
      <c r="F4" s="391"/>
    </row>
    <row r="5" spans="1:6" ht="27" customHeight="1" x14ac:dyDescent="0.3">
      <c r="A5" s="392" t="s">
        <v>36</v>
      </c>
      <c r="B5" s="393">
        <f>SUM(B6:B8)</f>
        <v>8.8189999999999991</v>
      </c>
      <c r="C5" s="393">
        <f>SUM(C6:C8)</f>
        <v>8.8659999999999997</v>
      </c>
      <c r="D5" s="393">
        <f>IFERROR(C5/B5*100-100,"")</f>
        <v>0.53294024265791506</v>
      </c>
      <c r="E5" s="403"/>
      <c r="F5" s="394" t="str">
        <f t="shared" ref="F5:F13" si="0">IF(OR($D5&gt;10,$D5&lt;-10),IF($D5="","",IF($E5="","Внесите комментарий!","")),"")</f>
        <v/>
      </c>
    </row>
    <row r="6" spans="1:6" ht="27" customHeight="1" x14ac:dyDescent="0.3">
      <c r="A6" s="395" t="s">
        <v>37</v>
      </c>
      <c r="B6" s="396">
        <f>'1. Статистика'!M17</f>
        <v>1.631</v>
      </c>
      <c r="C6" s="396">
        <f>'3.Прогноз.С корректировкой таб7'!G9</f>
        <v>1.734</v>
      </c>
      <c r="D6" s="396">
        <f>IFERROR(C6/B6*100-100,"")</f>
        <v>6.3151440833844248</v>
      </c>
      <c r="E6" s="397" t="s">
        <v>124</v>
      </c>
      <c r="F6" s="394" t="str">
        <f t="shared" si="0"/>
        <v/>
      </c>
    </row>
    <row r="7" spans="1:6" ht="27" customHeight="1" x14ac:dyDescent="0.3">
      <c r="A7" s="395" t="s">
        <v>122</v>
      </c>
      <c r="B7" s="396">
        <f>'1. Статистика'!M18</f>
        <v>0.157</v>
      </c>
      <c r="C7" s="396">
        <f>'3.Прогноз.С корректировкой таб7'!G10</f>
        <v>0.157</v>
      </c>
      <c r="D7" s="396">
        <f t="shared" ref="D7:D13" si="1">IFERROR(C7/B7*100-100,"")</f>
        <v>0</v>
      </c>
      <c r="E7" s="397"/>
      <c r="F7" s="394" t="str">
        <f t="shared" si="0"/>
        <v/>
      </c>
    </row>
    <row r="8" spans="1:6" ht="27" customHeight="1" x14ac:dyDescent="0.3">
      <c r="A8" s="395" t="s">
        <v>38</v>
      </c>
      <c r="B8" s="396">
        <f>'1. Статистика'!M19</f>
        <v>7.0309999999999997</v>
      </c>
      <c r="C8" s="396">
        <f>'3.Прогноз.С корректировкой таб7'!G15</f>
        <v>6.9749999999999996</v>
      </c>
      <c r="D8" s="396">
        <f t="shared" si="1"/>
        <v>-0.79647276347603224</v>
      </c>
      <c r="E8" s="397"/>
      <c r="F8" s="394" t="str">
        <f t="shared" si="0"/>
        <v/>
      </c>
    </row>
    <row r="9" spans="1:6" ht="27" customHeight="1" x14ac:dyDescent="0.3">
      <c r="A9" s="398" t="s">
        <v>41</v>
      </c>
      <c r="B9" s="399">
        <f>SUM(B10:B12)</f>
        <v>7.085</v>
      </c>
      <c r="C9" s="399">
        <f>SUM(C10:C12)</f>
        <v>7.0519999999999996</v>
      </c>
      <c r="D9" s="399">
        <f t="shared" si="1"/>
        <v>-0.46577275935074169</v>
      </c>
      <c r="E9" s="404"/>
      <c r="F9" s="394" t="str">
        <f t="shared" si="0"/>
        <v/>
      </c>
    </row>
    <row r="10" spans="1:6" ht="27" customHeight="1" x14ac:dyDescent="0.3">
      <c r="A10" s="395" t="s">
        <v>65</v>
      </c>
      <c r="B10" s="396">
        <f>'1. Статистика'!M21</f>
        <v>7.085</v>
      </c>
      <c r="C10" s="396">
        <f>'3.Прогноз.С корректировкой таб7'!G19</f>
        <v>7.0519999999999996</v>
      </c>
      <c r="D10" s="396">
        <f t="shared" si="1"/>
        <v>-0.46577275935074169</v>
      </c>
      <c r="E10" s="397"/>
      <c r="F10" s="394" t="str">
        <f t="shared" si="0"/>
        <v/>
      </c>
    </row>
    <row r="11" spans="1:6" ht="27" customHeight="1" x14ac:dyDescent="0.3">
      <c r="A11" s="395" t="s">
        <v>18</v>
      </c>
      <c r="B11" s="396">
        <f>'1. Статистика'!M22</f>
        <v>0</v>
      </c>
      <c r="C11" s="396">
        <f>'3.Прогноз.С корректировкой таб7'!G22</f>
        <v>0</v>
      </c>
      <c r="D11" s="396" t="str">
        <f t="shared" si="1"/>
        <v/>
      </c>
      <c r="E11" s="397"/>
      <c r="F11" s="394" t="str">
        <f t="shared" si="0"/>
        <v/>
      </c>
    </row>
    <row r="12" spans="1:6" ht="27" customHeight="1" x14ac:dyDescent="0.3">
      <c r="A12" s="395" t="s">
        <v>47</v>
      </c>
      <c r="B12" s="396">
        <f>'1. Статистика'!M23</f>
        <v>0</v>
      </c>
      <c r="C12" s="396">
        <f>'3.Прогноз.С корректировкой таб7'!G24</f>
        <v>0</v>
      </c>
      <c r="D12" s="396" t="str">
        <f t="shared" si="1"/>
        <v/>
      </c>
      <c r="E12" s="397"/>
      <c r="F12" s="394" t="str">
        <f t="shared" si="0"/>
        <v/>
      </c>
    </row>
    <row r="13" spans="1:6" ht="27" customHeight="1" thickBot="1" x14ac:dyDescent="0.35">
      <c r="A13" s="400" t="s">
        <v>50</v>
      </c>
      <c r="B13" s="401">
        <f>'1. Статистика'!M24</f>
        <v>1.734</v>
      </c>
      <c r="C13" s="401">
        <f>'3.Прогноз.С корректировкой таб7'!G28</f>
        <v>1.8140000000000001</v>
      </c>
      <c r="D13" s="401">
        <f t="shared" si="1"/>
        <v>4.6136101499423319</v>
      </c>
      <c r="E13" s="402"/>
      <c r="F13" s="394" t="str">
        <f t="shared" si="0"/>
        <v/>
      </c>
    </row>
  </sheetData>
  <sheetProtection algorithmName="SHA-512" hashValue="EEcZoaNi7StVjWZO/k8tZP8YaDcQvr6vx+3jL1k0Y48bg5ZyGVQBCA4+eCrDcKZjrm4A4aRkIQ/OA59EKkoxWA==" saltValue="8CU5G2HFASFFEDJ2zrIsXg==" spinCount="100000" sheet="1" objects="1" scenarios="1"/>
  <mergeCells count="1">
    <mergeCell ref="A2:E2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2022-01-20T12:24:44Z</cp:lastPrinted>
  <dcterms:created xsi:type="dcterms:W3CDTF">2006-09-16T00:00:00Z</dcterms:created>
  <dcterms:modified xsi:type="dcterms:W3CDTF">2022-05-26T09:01:22Z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