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/>
  <workbookProtection workbookAlgorithmName="SHA-512" workbookHashValue="R78Nhmqa0wk5hwU/+9SF5B0CEiFfhmdtWXtpW2p+uMGL8/AZP3ZighHHvag0zEzRRR80fRzG75qxjNQJLmCjEA==" workbookSaltValue="cX3nzfvrBA7RDyjG2NVHeQ==" workbookSpinCount="100000" lockStructure="1"/>
  <bookViews>
    <workbookView xWindow="30" yWindow="750" windowWidth="19440" windowHeight="15450" tabRatio="753"/>
  </bookViews>
  <sheets>
    <sheet name="1. Статистика" sheetId="6" r:id="rId1"/>
    <sheet name="2. Прогноз. Без корректировки" sheetId="7" r:id="rId2"/>
    <sheet name="3.Прогноз.С корректировкой таб9" sheetId="13" r:id="rId3"/>
    <sheet name="Баланс" sheetId="14" state="veryHidden" r:id="rId4"/>
    <sheet name="4.Комментарий" sheetId="15" r:id="rId5"/>
  </sheets>
  <definedNames>
    <definedName name="Date">Баланс!$R$1</definedName>
    <definedName name="DocN">Баланс!$Q$1</definedName>
    <definedName name="Test_date">Баланс!$R$2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15" l="1"/>
  <c r="C4" i="15" s="1"/>
  <c r="R2" i="14"/>
  <c r="B3" i="14" s="1"/>
  <c r="F32" i="13"/>
  <c r="E32" i="13"/>
  <c r="D32" i="13"/>
  <c r="C32" i="13"/>
  <c r="P25" i="13"/>
  <c r="O25" i="13"/>
  <c r="N25" i="13"/>
  <c r="M25" i="13"/>
  <c r="K25" i="13"/>
  <c r="J25" i="13"/>
  <c r="I25" i="13"/>
  <c r="H25" i="13"/>
  <c r="F25" i="13"/>
  <c r="E25" i="13"/>
  <c r="D25" i="13"/>
  <c r="C25" i="13"/>
  <c r="P24" i="13"/>
  <c r="O24" i="13"/>
  <c r="N24" i="13"/>
  <c r="M24" i="13"/>
  <c r="K24" i="13"/>
  <c r="J24" i="13"/>
  <c r="I24" i="13"/>
  <c r="H24" i="13"/>
  <c r="F24" i="13"/>
  <c r="E24" i="13"/>
  <c r="D24" i="13"/>
  <c r="C24" i="13"/>
  <c r="P23" i="13"/>
  <c r="O23" i="13"/>
  <c r="N23" i="13"/>
  <c r="M23" i="13"/>
  <c r="K23" i="13"/>
  <c r="J23" i="13"/>
  <c r="I23" i="13"/>
  <c r="H23" i="13"/>
  <c r="F23" i="13"/>
  <c r="E23" i="13"/>
  <c r="D23" i="13"/>
  <c r="C23" i="13"/>
  <c r="F22" i="13"/>
  <c r="E22" i="13"/>
  <c r="E21" i="13" s="1"/>
  <c r="D22" i="13"/>
  <c r="D21" i="13" s="1"/>
  <c r="C22" i="13"/>
  <c r="F21" i="13"/>
  <c r="C21" i="13"/>
  <c r="H22" i="13" s="1"/>
  <c r="H21" i="13" s="1"/>
  <c r="F18" i="13"/>
  <c r="E18" i="13"/>
  <c r="D18" i="13"/>
  <c r="C18" i="13"/>
  <c r="C7" i="13"/>
  <c r="H7" i="13" s="1"/>
  <c r="Q33" i="7"/>
  <c r="L33" i="7"/>
  <c r="G33" i="7"/>
  <c r="F32" i="7"/>
  <c r="E32" i="7"/>
  <c r="E31" i="7" s="1"/>
  <c r="J32" i="7" s="1"/>
  <c r="J31" i="7" s="1"/>
  <c r="O32" i="7" s="1"/>
  <c r="O31" i="7" s="1"/>
  <c r="M88" i="6" s="1"/>
  <c r="D32" i="7"/>
  <c r="D31" i="7" s="1"/>
  <c r="I32" i="7" s="1"/>
  <c r="I31" i="7" s="1"/>
  <c r="N32" i="7" s="1"/>
  <c r="N31" i="7" s="1"/>
  <c r="L88" i="6" s="1"/>
  <c r="C32" i="7"/>
  <c r="F31" i="7"/>
  <c r="K32" i="7" s="1"/>
  <c r="K31" i="7" s="1"/>
  <c r="P32" i="7" s="1"/>
  <c r="P31" i="7" s="1"/>
  <c r="N88" i="6" s="1"/>
  <c r="Q25" i="7"/>
  <c r="L25" i="7"/>
  <c r="G25" i="7"/>
  <c r="Q24" i="7"/>
  <c r="L24" i="7"/>
  <c r="G24" i="7"/>
  <c r="P23" i="7"/>
  <c r="O23" i="7"/>
  <c r="N23" i="7"/>
  <c r="M23" i="7"/>
  <c r="K23" i="7"/>
  <c r="J23" i="7"/>
  <c r="I23" i="7"/>
  <c r="H23" i="7"/>
  <c r="F23" i="7"/>
  <c r="E23" i="7"/>
  <c r="D23" i="7"/>
  <c r="C23" i="7"/>
  <c r="F22" i="7"/>
  <c r="F21" i="7" s="1"/>
  <c r="E22" i="7"/>
  <c r="E21" i="7" s="1"/>
  <c r="D22" i="7"/>
  <c r="D21" i="7" s="1"/>
  <c r="C22" i="7"/>
  <c r="C21" i="7"/>
  <c r="Q19" i="7"/>
  <c r="L19" i="7"/>
  <c r="G19" i="7"/>
  <c r="F18" i="7"/>
  <c r="F17" i="7" s="1"/>
  <c r="E18" i="7"/>
  <c r="E17" i="7" s="1"/>
  <c r="D18" i="7"/>
  <c r="D17" i="7" s="1"/>
  <c r="C18" i="7"/>
  <c r="C17" i="7"/>
  <c r="H18" i="7" s="1"/>
  <c r="C7" i="7"/>
  <c r="H7" i="7" s="1"/>
  <c r="S200" i="6"/>
  <c r="R200" i="6"/>
  <c r="Q200" i="6"/>
  <c r="P200" i="6"/>
  <c r="O200" i="6"/>
  <c r="N200" i="6"/>
  <c r="M200" i="6"/>
  <c r="L200" i="6"/>
  <c r="K200" i="6"/>
  <c r="J200" i="6"/>
  <c r="I200" i="6"/>
  <c r="H200" i="6"/>
  <c r="G200" i="6"/>
  <c r="F200" i="6"/>
  <c r="E200" i="6"/>
  <c r="D200" i="6"/>
  <c r="C200" i="6"/>
  <c r="S199" i="6"/>
  <c r="R199" i="6"/>
  <c r="Q199" i="6"/>
  <c r="P199" i="6"/>
  <c r="O199" i="6"/>
  <c r="N199" i="6"/>
  <c r="M199" i="6"/>
  <c r="L199" i="6"/>
  <c r="K199" i="6"/>
  <c r="J199" i="6"/>
  <c r="I199" i="6"/>
  <c r="H199" i="6"/>
  <c r="G199" i="6"/>
  <c r="F199" i="6"/>
  <c r="E199" i="6"/>
  <c r="D199" i="6"/>
  <c r="E79" i="6" s="1" a="1"/>
  <c r="F79" i="6" s="1"/>
  <c r="C199" i="6"/>
  <c r="S198" i="6"/>
  <c r="R198" i="6"/>
  <c r="Q198" i="6"/>
  <c r="P198" i="6"/>
  <c r="O198" i="6"/>
  <c r="N198" i="6"/>
  <c r="M198" i="6"/>
  <c r="L198" i="6"/>
  <c r="K198" i="6"/>
  <c r="J198" i="6"/>
  <c r="I198" i="6"/>
  <c r="H198" i="6"/>
  <c r="G198" i="6"/>
  <c r="F198" i="6"/>
  <c r="C79" i="6" s="1" a="1"/>
  <c r="D79" i="6" s="1"/>
  <c r="E198" i="6"/>
  <c r="D198" i="6"/>
  <c r="C198" i="6"/>
  <c r="C87" i="6"/>
  <c r="C84" i="6"/>
  <c r="G84" i="6" s="1"/>
  <c r="K84" i="6" s="1"/>
  <c r="D71" i="6"/>
  <c r="E71" i="6" s="1"/>
  <c r="F71" i="6" s="1"/>
  <c r="G71" i="6" s="1"/>
  <c r="H71" i="6" s="1"/>
  <c r="I71" i="6" s="1"/>
  <c r="J71" i="6" s="1"/>
  <c r="K71" i="6" s="1"/>
  <c r="L71" i="6" s="1"/>
  <c r="M71" i="6" s="1"/>
  <c r="N71" i="6" s="1"/>
  <c r="O71" i="6" s="1"/>
  <c r="P71" i="6" s="1"/>
  <c r="Q71" i="6" s="1"/>
  <c r="R71" i="6" s="1"/>
  <c r="S71" i="6" s="1"/>
  <c r="T71" i="6" s="1"/>
  <c r="U71" i="6" s="1"/>
  <c r="V71" i="6" s="1"/>
  <c r="C71" i="6"/>
  <c r="C66" i="6"/>
  <c r="D66" i="6" s="1"/>
  <c r="E66" i="6" s="1"/>
  <c r="G28" i="7"/>
  <c r="G28" i="13" s="1"/>
  <c r="C61" i="6"/>
  <c r="D61" i="6" s="1"/>
  <c r="E61" i="6" s="1"/>
  <c r="F61" i="6" s="1"/>
  <c r="G61" i="6" s="1"/>
  <c r="H61" i="6" s="1"/>
  <c r="C51" i="6"/>
  <c r="D51" i="6" s="1"/>
  <c r="V47" i="6"/>
  <c r="U47" i="6"/>
  <c r="T47" i="6"/>
  <c r="S47" i="6"/>
  <c r="Q47" i="6"/>
  <c r="P47" i="6"/>
  <c r="O47" i="6"/>
  <c r="N47" i="6"/>
  <c r="M47" i="6"/>
  <c r="L47" i="6"/>
  <c r="K47" i="6"/>
  <c r="J47" i="6"/>
  <c r="I47" i="6"/>
  <c r="G47" i="6"/>
  <c r="F47" i="6"/>
  <c r="E47" i="6"/>
  <c r="D47" i="6"/>
  <c r="C47" i="6"/>
  <c r="AK45" i="6"/>
  <c r="G9" i="13" s="1"/>
  <c r="AJ45" i="6"/>
  <c r="AI45" i="6"/>
  <c r="AH45" i="6"/>
  <c r="AG45" i="6"/>
  <c r="AF45" i="6"/>
  <c r="AB45" i="6" s="1"/>
  <c r="AE45" i="6"/>
  <c r="AD45" i="6"/>
  <c r="AC45" i="6"/>
  <c r="AA45" i="6"/>
  <c r="W45" i="6" s="1"/>
  <c r="Z45" i="6"/>
  <c r="Y45" i="6"/>
  <c r="X45" i="6"/>
  <c r="R45" i="6"/>
  <c r="R47" i="6" s="1"/>
  <c r="M45" i="6"/>
  <c r="H45" i="6"/>
  <c r="H47" i="6" s="1"/>
  <c r="C45" i="6"/>
  <c r="C43" i="6"/>
  <c r="H43" i="6" s="1"/>
  <c r="D37" i="6"/>
  <c r="M33" i="6"/>
  <c r="B14" i="15" s="1"/>
  <c r="H33" i="6"/>
  <c r="C33" i="6"/>
  <c r="M32" i="6"/>
  <c r="B11" i="15" s="1"/>
  <c r="H32" i="6"/>
  <c r="C32" i="6"/>
  <c r="M31" i="6"/>
  <c r="B13" i="15" s="1"/>
  <c r="H31" i="6"/>
  <c r="C31" i="6"/>
  <c r="M30" i="6"/>
  <c r="B12" i="15" s="1"/>
  <c r="H30" i="6"/>
  <c r="C30" i="6"/>
  <c r="M29" i="6"/>
  <c r="B10" i="15" s="1"/>
  <c r="H29" i="6"/>
  <c r="C29" i="6"/>
  <c r="D28" i="6"/>
  <c r="D35" i="6" s="1"/>
  <c r="M27" i="6"/>
  <c r="B8" i="15" s="1"/>
  <c r="H27" i="6"/>
  <c r="C27" i="6"/>
  <c r="M26" i="6"/>
  <c r="B7" i="15" s="1"/>
  <c r="H26" i="6"/>
  <c r="C26" i="6"/>
  <c r="Q25" i="6"/>
  <c r="Q28" i="6" s="1"/>
  <c r="Q35" i="6" s="1"/>
  <c r="P25" i="6"/>
  <c r="P28" i="6" s="1"/>
  <c r="O25" i="6"/>
  <c r="O28" i="6" s="1"/>
  <c r="O35" i="6" s="1"/>
  <c r="N25" i="6"/>
  <c r="N28" i="6" s="1"/>
  <c r="L25" i="6"/>
  <c r="L28" i="6" s="1"/>
  <c r="K25" i="6"/>
  <c r="K28" i="6" s="1"/>
  <c r="K35" i="6" s="1"/>
  <c r="J25" i="6"/>
  <c r="J28" i="6" s="1"/>
  <c r="I25" i="6"/>
  <c r="H25" i="6" s="1"/>
  <c r="H28" i="6" s="1"/>
  <c r="G25" i="6"/>
  <c r="G28" i="6" s="1"/>
  <c r="G35" i="6" s="1"/>
  <c r="F25" i="6"/>
  <c r="F28" i="6" s="1"/>
  <c r="E25" i="6"/>
  <c r="E28" i="6" s="1"/>
  <c r="E35" i="6" s="1"/>
  <c r="C25" i="6"/>
  <c r="C23" i="6"/>
  <c r="D23" i="6" s="1"/>
  <c r="M19" i="6"/>
  <c r="H19" i="6"/>
  <c r="C19" i="6"/>
  <c r="C17" i="6"/>
  <c r="H17" i="6" s="1"/>
  <c r="M17" i="6" s="1"/>
  <c r="L13" i="7"/>
  <c r="L13" i="13" s="1"/>
  <c r="G13" i="7"/>
  <c r="G13" i="13" s="1"/>
  <c r="G12" i="7"/>
  <c r="G12" i="13" s="1"/>
  <c r="F10" i="6"/>
  <c r="G11" i="7" s="1"/>
  <c r="F9" i="6"/>
  <c r="E9" i="6"/>
  <c r="D9" i="6"/>
  <c r="C9" i="6"/>
  <c r="C8" i="6"/>
  <c r="D8" i="6" s="1"/>
  <c r="E8" i="6" s="1"/>
  <c r="F8" i="6" s="1"/>
  <c r="G8" i="6" s="1"/>
  <c r="H8" i="6" s="1"/>
  <c r="G9" i="14"/>
  <c r="E9" i="14"/>
  <c r="D9" i="14"/>
  <c r="C9" i="14"/>
  <c r="B9" i="14"/>
  <c r="H35" i="6" l="1"/>
  <c r="I28" i="6"/>
  <c r="I35" i="6" s="1"/>
  <c r="H37" i="6"/>
  <c r="C28" i="6"/>
  <c r="C35" i="6" s="1"/>
  <c r="G79" i="6" a="1"/>
  <c r="H79" i="6" s="1"/>
  <c r="G22" i="7"/>
  <c r="L23" i="7"/>
  <c r="Q23" i="7"/>
  <c r="G32" i="7"/>
  <c r="G18" i="13"/>
  <c r="G22" i="13"/>
  <c r="L23" i="13"/>
  <c r="Q23" i="13"/>
  <c r="G24" i="13"/>
  <c r="Q24" i="13"/>
  <c r="G25" i="13"/>
  <c r="L25" i="13"/>
  <c r="G10" i="6"/>
  <c r="L11" i="7" s="1"/>
  <c r="J18" i="7"/>
  <c r="J17" i="7" s="1"/>
  <c r="O18" i="7" s="1"/>
  <c r="O17" i="7" s="1"/>
  <c r="M87" i="6" s="1"/>
  <c r="E87" i="6"/>
  <c r="G18" i="7"/>
  <c r="G17" i="7" s="1"/>
  <c r="G53" i="6"/>
  <c r="E88" i="6"/>
  <c r="I88" i="6"/>
  <c r="D88" i="6"/>
  <c r="H88" i="6"/>
  <c r="J88" i="6"/>
  <c r="F88" i="6"/>
  <c r="G31" i="7"/>
  <c r="E79" i="6"/>
  <c r="C79" i="6"/>
  <c r="N37" i="6"/>
  <c r="N35" i="6"/>
  <c r="P37" i="6"/>
  <c r="P35" i="6"/>
  <c r="F37" i="6"/>
  <c r="F35" i="6"/>
  <c r="J37" i="6"/>
  <c r="J35" i="6"/>
  <c r="L37" i="6"/>
  <c r="L35" i="6"/>
  <c r="M43" i="6"/>
  <c r="I43" i="6"/>
  <c r="H23" i="6"/>
  <c r="F54" i="6"/>
  <c r="D54" i="6"/>
  <c r="E54" i="6" s="1"/>
  <c r="F55" i="6"/>
  <c r="D55" i="6"/>
  <c r="E55" i="6" s="1"/>
  <c r="C67" i="6"/>
  <c r="G11" i="13"/>
  <c r="H10" i="6"/>
  <c r="Q13" i="7"/>
  <c r="Q13" i="13" s="1"/>
  <c r="M25" i="6"/>
  <c r="B9" i="15"/>
  <c r="C37" i="6"/>
  <c r="E37" i="6"/>
  <c r="G37" i="6"/>
  <c r="I37" i="6"/>
  <c r="K37" i="6"/>
  <c r="O37" i="6"/>
  <c r="Q37" i="6"/>
  <c r="D43" i="6"/>
  <c r="L90" i="6"/>
  <c r="N90" i="6"/>
  <c r="G55" i="6"/>
  <c r="M7" i="7"/>
  <c r="Q7" i="7" s="1"/>
  <c r="L7" i="7"/>
  <c r="D87" i="6"/>
  <c r="I18" i="7"/>
  <c r="I17" i="7" s="1"/>
  <c r="F87" i="6"/>
  <c r="K18" i="7"/>
  <c r="K17" i="7" s="1"/>
  <c r="L11" i="13"/>
  <c r="F53" i="6"/>
  <c r="D53" i="6"/>
  <c r="E53" i="6" s="1"/>
  <c r="K90" i="6"/>
  <c r="G90" i="6"/>
  <c r="C90" i="6"/>
  <c r="M90" i="6"/>
  <c r="I90" i="6"/>
  <c r="E90" i="6"/>
  <c r="G54" i="6"/>
  <c r="H17" i="7"/>
  <c r="I22" i="7"/>
  <c r="I21" i="7" s="1"/>
  <c r="K22" i="7"/>
  <c r="K21" i="7" s="1"/>
  <c r="G7" i="7"/>
  <c r="G23" i="7"/>
  <c r="G21" i="7" s="1"/>
  <c r="M22" i="13"/>
  <c r="C6" i="15"/>
  <c r="C9" i="13"/>
  <c r="D90" i="6"/>
  <c r="F90" i="6"/>
  <c r="H90" i="6"/>
  <c r="J90" i="6"/>
  <c r="G9" i="7"/>
  <c r="H22" i="7"/>
  <c r="J22" i="7"/>
  <c r="J21" i="7" s="1"/>
  <c r="M7" i="13"/>
  <c r="Q7" i="13" s="1"/>
  <c r="L7" i="13"/>
  <c r="C31" i="7"/>
  <c r="G7" i="13"/>
  <c r="I22" i="13"/>
  <c r="I21" i="13" s="1"/>
  <c r="G32" i="13"/>
  <c r="G3" i="14"/>
  <c r="F3" i="14"/>
  <c r="J22" i="13"/>
  <c r="J21" i="13" s="1"/>
  <c r="K22" i="13"/>
  <c r="K21" i="13" s="1"/>
  <c r="G23" i="13"/>
  <c r="G21" i="13" s="1"/>
  <c r="L24" i="13"/>
  <c r="Q25" i="13"/>
  <c r="I9" i="14"/>
  <c r="J9" i="14"/>
  <c r="H9" i="14"/>
  <c r="B5" i="14"/>
  <c r="G79" i="6" l="1"/>
  <c r="L18" i="7"/>
  <c r="L17" i="7" s="1"/>
  <c r="I87" i="6"/>
  <c r="V73" i="6"/>
  <c r="Q15" i="13" s="1"/>
  <c r="T73" i="6"/>
  <c r="G15" i="13" s="1"/>
  <c r="U73" i="6"/>
  <c r="L15" i="13" s="1"/>
  <c r="V74" i="6"/>
  <c r="Q16" i="13" s="1"/>
  <c r="T74" i="6"/>
  <c r="G16" i="13" s="1"/>
  <c r="U74" i="6"/>
  <c r="L16" i="13" s="1"/>
  <c r="V72" i="6"/>
  <c r="Q14" i="13" s="1"/>
  <c r="U72" i="6"/>
  <c r="L14" i="13" s="1"/>
  <c r="T72" i="6"/>
  <c r="G14" i="13" s="1"/>
  <c r="C10" i="15"/>
  <c r="O22" i="13"/>
  <c r="O21" i="13" s="1"/>
  <c r="L22" i="13"/>
  <c r="L21" i="13" s="1"/>
  <c r="L3" i="14"/>
  <c r="P3" i="14" s="1"/>
  <c r="K3" i="14"/>
  <c r="N22" i="13"/>
  <c r="N21" i="13" s="1"/>
  <c r="H32" i="7"/>
  <c r="C88" i="6"/>
  <c r="L22" i="7"/>
  <c r="L21" i="7" s="1"/>
  <c r="H21" i="7"/>
  <c r="P18" i="7"/>
  <c r="P17" i="7" s="1"/>
  <c r="N87" i="6" s="1"/>
  <c r="J87" i="6"/>
  <c r="N18" i="7"/>
  <c r="N17" i="7" s="1"/>
  <c r="L87" i="6" s="1"/>
  <c r="H87" i="6"/>
  <c r="P22" i="13"/>
  <c r="P21" i="13" s="1"/>
  <c r="O22" i="7"/>
  <c r="O21" i="7" s="1"/>
  <c r="C9" i="7"/>
  <c r="L28" i="7"/>
  <c r="L28" i="13" s="1"/>
  <c r="Q28" i="7"/>
  <c r="Q28" i="13" s="1"/>
  <c r="M21" i="13"/>
  <c r="P22" i="7"/>
  <c r="P21" i="7" s="1"/>
  <c r="N22" i="7"/>
  <c r="N21" i="7" s="1"/>
  <c r="M18" i="7"/>
  <c r="G87" i="6"/>
  <c r="C53" i="6"/>
  <c r="H53" i="6" s="1"/>
  <c r="Q11" i="7"/>
  <c r="G27" i="7"/>
  <c r="D67" i="6"/>
  <c r="I23" i="6"/>
  <c r="M23" i="6"/>
  <c r="N23" i="6" s="1"/>
  <c r="B6" i="15"/>
  <c r="B5" i="15" s="1"/>
  <c r="M28" i="6"/>
  <c r="L12" i="7"/>
  <c r="Q12" i="7"/>
  <c r="Q12" i="13" s="1"/>
  <c r="G10" i="7"/>
  <c r="G9" i="6"/>
  <c r="C55" i="6"/>
  <c r="H55" i="6" s="1"/>
  <c r="C54" i="6"/>
  <c r="H54" i="6" s="1"/>
  <c r="R43" i="6"/>
  <c r="N43" i="6"/>
  <c r="O9" i="14"/>
  <c r="N9" i="14"/>
  <c r="L9" i="14"/>
  <c r="M9" i="14"/>
  <c r="Q22" i="13" l="1"/>
  <c r="Q21" i="13" s="1"/>
  <c r="H9" i="6"/>
  <c r="G10" i="13"/>
  <c r="F10" i="7"/>
  <c r="F10" i="13" s="1"/>
  <c r="L27" i="7"/>
  <c r="E67" i="6"/>
  <c r="Q27" i="7" s="1"/>
  <c r="M17" i="7"/>
  <c r="K87" i="6" s="1"/>
  <c r="Q18" i="7"/>
  <c r="Q17" i="7" s="1"/>
  <c r="H31" i="7"/>
  <c r="L32" i="7"/>
  <c r="L31" i="7" s="1"/>
  <c r="W43" i="6"/>
  <c r="S43" i="6"/>
  <c r="L12" i="13"/>
  <c r="L10" i="7"/>
  <c r="M35" i="6"/>
  <c r="M37" i="6"/>
  <c r="G27" i="13"/>
  <c r="G26" i="7"/>
  <c r="Q11" i="13"/>
  <c r="Q10" i="7"/>
  <c r="C10" i="7"/>
  <c r="C10" i="13" s="1"/>
  <c r="D6" i="15"/>
  <c r="F6" i="15" s="1"/>
  <c r="G20" i="7"/>
  <c r="E10" i="7"/>
  <c r="E10" i="13" s="1"/>
  <c r="M22" i="7"/>
  <c r="D10" i="15"/>
  <c r="F10" i="15" s="1"/>
  <c r="E6" i="14"/>
  <c r="B6" i="14"/>
  <c r="D6" i="14"/>
  <c r="Q22" i="7" l="1"/>
  <c r="Q21" i="7" s="1"/>
  <c r="M21" i="7"/>
  <c r="Q10" i="13"/>
  <c r="P10" i="7"/>
  <c r="P10" i="13" s="1"/>
  <c r="O10" i="7"/>
  <c r="O10" i="13" s="1"/>
  <c r="M10" i="7"/>
  <c r="M10" i="13" s="1"/>
  <c r="G26" i="13"/>
  <c r="C11" i="15" s="1"/>
  <c r="E26" i="7"/>
  <c r="F26" i="7"/>
  <c r="C26" i="7"/>
  <c r="G30" i="13"/>
  <c r="G29" i="7"/>
  <c r="L10" i="13"/>
  <c r="K10" i="7"/>
  <c r="K10" i="13" s="1"/>
  <c r="J10" i="7"/>
  <c r="J10" i="13" s="1"/>
  <c r="H10" i="7"/>
  <c r="H10" i="13" s="1"/>
  <c r="M32" i="7"/>
  <c r="G88" i="6"/>
  <c r="C20" i="7"/>
  <c r="L27" i="13"/>
  <c r="L26" i="7"/>
  <c r="D10" i="7"/>
  <c r="D10" i="13" s="1"/>
  <c r="AB43" i="6"/>
  <c r="X43" i="6"/>
  <c r="Q27" i="13"/>
  <c r="Q26" i="7"/>
  <c r="C7" i="15"/>
  <c r="N6" i="14"/>
  <c r="I6" i="14"/>
  <c r="L6" i="14"/>
  <c r="C6" i="14"/>
  <c r="J6" i="14"/>
  <c r="G6" i="14"/>
  <c r="O6" i="14"/>
  <c r="D7" i="15" l="1"/>
  <c r="F7" i="15" s="1"/>
  <c r="G29" i="13"/>
  <c r="C12" i="15" s="1"/>
  <c r="D12" i="15" s="1"/>
  <c r="F12" i="15" s="1"/>
  <c r="F29" i="7"/>
  <c r="F29" i="13" s="1"/>
  <c r="C29" i="7"/>
  <c r="E29" i="7"/>
  <c r="E29" i="13" s="1"/>
  <c r="Q26" i="13"/>
  <c r="O26" i="7"/>
  <c r="P26" i="7"/>
  <c r="M26" i="7"/>
  <c r="M26" i="13" s="1"/>
  <c r="L30" i="13"/>
  <c r="Q30" i="13"/>
  <c r="C26" i="13"/>
  <c r="E26" i="13"/>
  <c r="D11" i="15"/>
  <c r="F11" i="15" s="1"/>
  <c r="N10" i="7"/>
  <c r="N10" i="13" s="1"/>
  <c r="AG43" i="6"/>
  <c r="AH43" i="6" s="1"/>
  <c r="AC43" i="6"/>
  <c r="L26" i="13"/>
  <c r="K26" i="7"/>
  <c r="H26" i="7"/>
  <c r="J26" i="7"/>
  <c r="Q32" i="7"/>
  <c r="Q31" i="7" s="1"/>
  <c r="M31" i="7"/>
  <c r="K88" i="6" s="1"/>
  <c r="I10" i="7"/>
  <c r="I10" i="13" s="1"/>
  <c r="G34" i="7"/>
  <c r="F26" i="13"/>
  <c r="D26" i="7"/>
  <c r="M6" i="14"/>
  <c r="H6" i="14"/>
  <c r="B10" i="14"/>
  <c r="D11" i="14"/>
  <c r="D10" i="14"/>
  <c r="E11" i="14"/>
  <c r="E10" i="14"/>
  <c r="L10" i="14"/>
  <c r="F34" i="7" l="1"/>
  <c r="E34" i="7"/>
  <c r="D26" i="13"/>
  <c r="J26" i="13"/>
  <c r="K26" i="13"/>
  <c r="P26" i="13"/>
  <c r="N26" i="7"/>
  <c r="C29" i="13"/>
  <c r="D29" i="7"/>
  <c r="D29" i="13" s="1"/>
  <c r="G35" i="7"/>
  <c r="G41" i="7" s="1"/>
  <c r="H26" i="13"/>
  <c r="I26" i="7"/>
  <c r="C34" i="7"/>
  <c r="O26" i="13"/>
  <c r="O10" i="14"/>
  <c r="I10" i="14"/>
  <c r="C11" i="14"/>
  <c r="J10" i="14"/>
  <c r="B11" i="14"/>
  <c r="N10" i="14"/>
  <c r="G10" i="14"/>
  <c r="C10" i="14"/>
  <c r="G38" i="7" l="1"/>
  <c r="D34" i="7"/>
  <c r="C35" i="7"/>
  <c r="C38" i="7" s="1"/>
  <c r="I26" i="13"/>
  <c r="N26" i="13"/>
  <c r="H10" i="14"/>
  <c r="M10" i="14"/>
  <c r="D9" i="7" l="1"/>
  <c r="C89" i="6"/>
  <c r="C41" i="7"/>
  <c r="D20" i="7" l="1"/>
  <c r="C93" i="6"/>
  <c r="C92" i="6"/>
  <c r="C94" i="6" l="1"/>
  <c r="C95" i="6" s="1"/>
  <c r="D35" i="7"/>
  <c r="D38" i="7" s="1"/>
  <c r="C98" i="6" l="1"/>
  <c r="C99" i="6"/>
  <c r="C103" i="6" s="1"/>
  <c r="D89" i="6" s="1"/>
  <c r="E9" i="7"/>
  <c r="D41" i="7"/>
  <c r="D93" i="6" l="1"/>
  <c r="D92" i="6"/>
  <c r="E20" i="7"/>
  <c r="C33" i="13"/>
  <c r="C102" i="6"/>
  <c r="C97" i="6"/>
  <c r="C19" i="13" l="1"/>
  <c r="C101" i="6"/>
  <c r="D94" i="6" s="1"/>
  <c r="D95" i="6" s="1"/>
  <c r="C31" i="13"/>
  <c r="E35" i="7"/>
  <c r="E38" i="7" s="1"/>
  <c r="B12" i="14"/>
  <c r="D98" i="6" l="1"/>
  <c r="D102" i="6" s="1"/>
  <c r="D99" i="6"/>
  <c r="D103" i="6" s="1"/>
  <c r="E89" i="6" s="1"/>
  <c r="C17" i="13"/>
  <c r="F9" i="7"/>
  <c r="E41" i="7"/>
  <c r="H32" i="13"/>
  <c r="C34" i="13"/>
  <c r="B7" i="14"/>
  <c r="D33" i="13" l="1"/>
  <c r="D31" i="13" s="1"/>
  <c r="D97" i="6"/>
  <c r="D101" i="6" s="1"/>
  <c r="B14" i="14"/>
  <c r="H18" i="13"/>
  <c r="C20" i="13"/>
  <c r="F20" i="7"/>
  <c r="E93" i="6"/>
  <c r="E92" i="6"/>
  <c r="C12" i="14"/>
  <c r="D19" i="13" l="1"/>
  <c r="D17" i="13" s="1"/>
  <c r="F35" i="7"/>
  <c r="C35" i="13"/>
  <c r="I32" i="13"/>
  <c r="D34" i="13"/>
  <c r="E94" i="6"/>
  <c r="E95" i="6" s="1"/>
  <c r="E98" i="6" s="1"/>
  <c r="C7" i="14"/>
  <c r="C14" i="14" l="1"/>
  <c r="E33" i="13"/>
  <c r="E102" i="6"/>
  <c r="E97" i="6"/>
  <c r="I18" i="13"/>
  <c r="D9" i="13"/>
  <c r="C41" i="13"/>
  <c r="L9" i="7"/>
  <c r="F41" i="7"/>
  <c r="E99" i="6"/>
  <c r="E103" i="6" s="1"/>
  <c r="F89" i="6" s="1"/>
  <c r="C38" i="13"/>
  <c r="F38" i="7"/>
  <c r="F93" i="6" l="1"/>
  <c r="F92" i="6"/>
  <c r="L20" i="7"/>
  <c r="H9" i="7"/>
  <c r="E19" i="13"/>
  <c r="E101" i="6"/>
  <c r="E31" i="13"/>
  <c r="D20" i="13"/>
  <c r="D12" i="14"/>
  <c r="J32" i="13" l="1"/>
  <c r="E34" i="13"/>
  <c r="E17" i="13"/>
  <c r="L29" i="7"/>
  <c r="D35" i="13"/>
  <c r="H20" i="7"/>
  <c r="F94" i="6"/>
  <c r="F95" i="6" s="1"/>
  <c r="D7" i="14"/>
  <c r="D14" i="14" l="1"/>
  <c r="F98" i="6"/>
  <c r="F99" i="6"/>
  <c r="F103" i="6" s="1"/>
  <c r="E9" i="13"/>
  <c r="D41" i="13"/>
  <c r="D38" i="13"/>
  <c r="L29" i="13"/>
  <c r="H29" i="7"/>
  <c r="K29" i="7"/>
  <c r="J29" i="7"/>
  <c r="L34" i="7"/>
  <c r="J18" i="13"/>
  <c r="I29" i="7" l="1"/>
  <c r="I29" i="13" s="1"/>
  <c r="L35" i="7"/>
  <c r="L41" i="7" s="1"/>
  <c r="K29" i="13"/>
  <c r="K34" i="7"/>
  <c r="E20" i="13"/>
  <c r="F33" i="13"/>
  <c r="F102" i="6"/>
  <c r="F97" i="6"/>
  <c r="J29" i="13"/>
  <c r="J34" i="7"/>
  <c r="H29" i="13"/>
  <c r="H34" i="7"/>
  <c r="H11" i="14"/>
  <c r="I11" i="14"/>
  <c r="J11" i="14"/>
  <c r="G11" i="14"/>
  <c r="L38" i="7" l="1"/>
  <c r="I34" i="7"/>
  <c r="E35" i="13"/>
  <c r="E38" i="13" s="1"/>
  <c r="H35" i="7"/>
  <c r="F19" i="13"/>
  <c r="F101" i="6"/>
  <c r="F31" i="13"/>
  <c r="G33" i="13"/>
  <c r="G31" i="13" s="1"/>
  <c r="E12" i="14"/>
  <c r="C13" i="15" l="1"/>
  <c r="G34" i="13"/>
  <c r="I9" i="7"/>
  <c r="G89" i="6"/>
  <c r="H41" i="7"/>
  <c r="K32" i="13"/>
  <c r="F34" i="13"/>
  <c r="F17" i="13"/>
  <c r="G19" i="13"/>
  <c r="H38" i="7"/>
  <c r="F9" i="13"/>
  <c r="E41" i="13"/>
  <c r="E7" i="14"/>
  <c r="E14" i="14" l="1"/>
  <c r="F20" i="13"/>
  <c r="I20" i="7"/>
  <c r="D13" i="15"/>
  <c r="F13" i="15" s="1"/>
  <c r="C9" i="15"/>
  <c r="D9" i="15" s="1"/>
  <c r="F9" i="15" s="1"/>
  <c r="K18" i="13"/>
  <c r="G17" i="13"/>
  <c r="L32" i="13"/>
  <c r="G93" i="6"/>
  <c r="G92" i="6"/>
  <c r="G94" i="6" l="1"/>
  <c r="G95" i="6" s="1"/>
  <c r="I35" i="7"/>
  <c r="F35" i="13"/>
  <c r="L18" i="13"/>
  <c r="C8" i="15"/>
  <c r="G20" i="13"/>
  <c r="G98" i="6" l="1"/>
  <c r="G102" i="6" s="1"/>
  <c r="G99" i="6"/>
  <c r="G103" i="6" s="1"/>
  <c r="H89" i="6" s="1"/>
  <c r="L9" i="13"/>
  <c r="F41" i="13"/>
  <c r="J9" i="7"/>
  <c r="I41" i="7"/>
  <c r="G35" i="13"/>
  <c r="D8" i="15"/>
  <c r="F8" i="15" s="1"/>
  <c r="C5" i="15"/>
  <c r="D5" i="15" s="1"/>
  <c r="F5" i="15" s="1"/>
  <c r="F38" i="13"/>
  <c r="I38" i="7"/>
  <c r="H33" i="13" l="1"/>
  <c r="H31" i="13" s="1"/>
  <c r="G97" i="6"/>
  <c r="G101" i="6" s="1"/>
  <c r="C14" i="15"/>
  <c r="D14" i="15" s="1"/>
  <c r="F14" i="15" s="1"/>
  <c r="G41" i="13"/>
  <c r="J20" i="7"/>
  <c r="G38" i="13"/>
  <c r="H93" i="6"/>
  <c r="H92" i="6"/>
  <c r="H9" i="13"/>
  <c r="G12" i="14"/>
  <c r="H19" i="13" l="1"/>
  <c r="H17" i="13" s="1"/>
  <c r="H94" i="6"/>
  <c r="H95" i="6" s="1"/>
  <c r="M32" i="13"/>
  <c r="H34" i="13"/>
  <c r="J35" i="7"/>
  <c r="J38" i="7" s="1"/>
  <c r="G7" i="14"/>
  <c r="H99" i="6" l="1"/>
  <c r="H103" i="6" s="1"/>
  <c r="I89" i="6" s="1"/>
  <c r="H98" i="6"/>
  <c r="H102" i="6" s="1"/>
  <c r="G14" i="14"/>
  <c r="K9" i="7"/>
  <c r="J41" i="7"/>
  <c r="M18" i="13"/>
  <c r="H20" i="13"/>
  <c r="I33" i="13" l="1"/>
  <c r="I31" i="13" s="1"/>
  <c r="H97" i="6"/>
  <c r="H101" i="6" s="1"/>
  <c r="H35" i="13"/>
  <c r="H38" i="13" s="1"/>
  <c r="K20" i="7"/>
  <c r="I93" i="6"/>
  <c r="I92" i="6"/>
  <c r="H12" i="14"/>
  <c r="I19" i="13" l="1"/>
  <c r="I17" i="13" s="1"/>
  <c r="I9" i="13"/>
  <c r="H41" i="13"/>
  <c r="I94" i="6"/>
  <c r="I95" i="6" s="1"/>
  <c r="K35" i="7"/>
  <c r="K38" i="7" s="1"/>
  <c r="N32" i="13"/>
  <c r="I34" i="13"/>
  <c r="H7" i="14"/>
  <c r="I98" i="6" l="1"/>
  <c r="I97" i="6" s="1"/>
  <c r="J19" i="13" s="1"/>
  <c r="I99" i="6"/>
  <c r="I103" i="6" s="1"/>
  <c r="H14" i="14"/>
  <c r="N18" i="13"/>
  <c r="Q9" i="7"/>
  <c r="J89" i="6"/>
  <c r="K41" i="7"/>
  <c r="I20" i="13"/>
  <c r="I102" i="6" l="1"/>
  <c r="J33" i="13"/>
  <c r="J31" i="13" s="1"/>
  <c r="I101" i="6"/>
  <c r="J93" i="6"/>
  <c r="J92" i="6"/>
  <c r="I35" i="13"/>
  <c r="M9" i="7"/>
  <c r="Q20" i="7"/>
  <c r="J17" i="13"/>
  <c r="I12" i="14"/>
  <c r="I7" i="14"/>
  <c r="I14" i="14" l="1"/>
  <c r="Q29" i="7"/>
  <c r="J9" i="13"/>
  <c r="I41" i="13"/>
  <c r="O32" i="13"/>
  <c r="J34" i="13"/>
  <c r="O18" i="13"/>
  <c r="M20" i="7"/>
  <c r="I38" i="13"/>
  <c r="J94" i="6"/>
  <c r="J95" i="6" s="1"/>
  <c r="J98" i="6" s="1"/>
  <c r="K33" i="13" l="1"/>
  <c r="J102" i="6"/>
  <c r="J97" i="6"/>
  <c r="J99" i="6"/>
  <c r="J103" i="6" s="1"/>
  <c r="J20" i="13"/>
  <c r="Q29" i="13"/>
  <c r="O29" i="7"/>
  <c r="M29" i="7"/>
  <c r="P29" i="7"/>
  <c r="Q34" i="7"/>
  <c r="O29" i="13" l="1"/>
  <c r="O34" i="7"/>
  <c r="P29" i="13"/>
  <c r="P34" i="7"/>
  <c r="Q35" i="7"/>
  <c r="Q41" i="7" s="1"/>
  <c r="M29" i="13"/>
  <c r="M34" i="7"/>
  <c r="N29" i="7"/>
  <c r="J35" i="13"/>
  <c r="K19" i="13"/>
  <c r="J101" i="6"/>
  <c r="K31" i="13"/>
  <c r="L33" i="13"/>
  <c r="L31" i="13" s="1"/>
  <c r="L34" i="13" s="1"/>
  <c r="L11" i="14"/>
  <c r="O11" i="14"/>
  <c r="J12" i="14"/>
  <c r="N11" i="14"/>
  <c r="Q38" i="7" l="1"/>
  <c r="K9" i="13"/>
  <c r="J41" i="13"/>
  <c r="N29" i="13"/>
  <c r="N34" i="7"/>
  <c r="M35" i="7"/>
  <c r="M38" i="7" s="1"/>
  <c r="P32" i="13"/>
  <c r="K34" i="13"/>
  <c r="K17" i="13"/>
  <c r="L19" i="13"/>
  <c r="J38" i="13"/>
  <c r="M11" i="14"/>
  <c r="J7" i="14"/>
  <c r="J14" i="14" l="1"/>
  <c r="P18" i="13"/>
  <c r="L17" i="13"/>
  <c r="Q32" i="13"/>
  <c r="N9" i="7"/>
  <c r="K89" i="6"/>
  <c r="M41" i="7"/>
  <c r="K20" i="13"/>
  <c r="K35" i="13" l="1"/>
  <c r="N20" i="7"/>
  <c r="Q18" i="13"/>
  <c r="K93" i="6"/>
  <c r="K92" i="6"/>
  <c r="L20" i="13"/>
  <c r="Q9" i="13" l="1"/>
  <c r="K41" i="13"/>
  <c r="L35" i="13"/>
  <c r="L41" i="13" s="1"/>
  <c r="K94" i="6"/>
  <c r="K95" i="6" s="1"/>
  <c r="N35" i="7"/>
  <c r="N38" i="7" s="1"/>
  <c r="K38" i="13"/>
  <c r="K99" i="6" l="1"/>
  <c r="K103" i="6" s="1"/>
  <c r="L89" i="6" s="1"/>
  <c r="K98" i="6"/>
  <c r="O9" i="7"/>
  <c r="N41" i="7"/>
  <c r="L38" i="13"/>
  <c r="M9" i="13"/>
  <c r="L93" i="6" l="1"/>
  <c r="L92" i="6"/>
  <c r="M33" i="13"/>
  <c r="K102" i="6"/>
  <c r="K97" i="6"/>
  <c r="O20" i="7"/>
  <c r="O35" i="7" l="1"/>
  <c r="M31" i="13"/>
  <c r="M19" i="13"/>
  <c r="K101" i="6"/>
  <c r="L94" i="6" s="1"/>
  <c r="L95" i="6" s="1"/>
  <c r="L12" i="14"/>
  <c r="L98" i="6" l="1"/>
  <c r="L99" i="6"/>
  <c r="L103" i="6" s="1"/>
  <c r="M89" i="6" s="1"/>
  <c r="M34" i="13"/>
  <c r="P9" i="7"/>
  <c r="O41" i="7"/>
  <c r="M17" i="13"/>
  <c r="O38" i="7"/>
  <c r="L7" i="14"/>
  <c r="L14" i="14" l="1"/>
  <c r="M20" i="13"/>
  <c r="P20" i="7"/>
  <c r="M93" i="6"/>
  <c r="M92" i="6"/>
  <c r="N33" i="13"/>
  <c r="L102" i="6"/>
  <c r="L97" i="6"/>
  <c r="N31" i="13" l="1"/>
  <c r="P35" i="7"/>
  <c r="P38" i="7" s="1"/>
  <c r="M35" i="13"/>
  <c r="M38" i="13" s="1"/>
  <c r="N19" i="13"/>
  <c r="L101" i="6"/>
  <c r="M94" i="6" s="1"/>
  <c r="M95" i="6" s="1"/>
  <c r="M12" i="14"/>
  <c r="M98" i="6" l="1"/>
  <c r="M99" i="6"/>
  <c r="M103" i="6" s="1"/>
  <c r="N89" i="6" s="1"/>
  <c r="N17" i="13"/>
  <c r="N9" i="13"/>
  <c r="M41" i="13"/>
  <c r="P41" i="7"/>
  <c r="N34" i="13"/>
  <c r="M7" i="14"/>
  <c r="M14" i="14" l="1"/>
  <c r="N93" i="6"/>
  <c r="N92" i="6"/>
  <c r="N20" i="13"/>
  <c r="O33" i="13"/>
  <c r="M102" i="6"/>
  <c r="M97" i="6"/>
  <c r="O19" i="13" l="1"/>
  <c r="M101" i="6"/>
  <c r="N94" i="6" s="1"/>
  <c r="N95" i="6" s="1"/>
  <c r="O31" i="13"/>
  <c r="N35" i="13"/>
  <c r="N12" i="14"/>
  <c r="N98" i="6" l="1"/>
  <c r="N99" i="6"/>
  <c r="N103" i="6" s="1"/>
  <c r="O9" i="13"/>
  <c r="N41" i="13"/>
  <c r="N38" i="13"/>
  <c r="O34" i="13"/>
  <c r="O17" i="13"/>
  <c r="N7" i="14"/>
  <c r="N14" i="14" l="1"/>
  <c r="O20" i="13"/>
  <c r="P33" i="13"/>
  <c r="N102" i="6"/>
  <c r="N97" i="6"/>
  <c r="P19" i="13" l="1"/>
  <c r="N101" i="6"/>
  <c r="O35" i="13"/>
  <c r="O38" i="13" s="1"/>
  <c r="P31" i="13"/>
  <c r="Q33" i="13"/>
  <c r="Q31" i="13" s="1"/>
  <c r="Q34" i="13" s="1"/>
  <c r="O12" i="14"/>
  <c r="P34" i="13" l="1"/>
  <c r="P9" i="13"/>
  <c r="O41" i="13"/>
  <c r="P17" i="13"/>
  <c r="Q19" i="13"/>
  <c r="O7" i="14"/>
  <c r="O14" i="14" l="1"/>
  <c r="Q17" i="13"/>
  <c r="P20" i="13"/>
  <c r="P35" i="13" l="1"/>
  <c r="P41" i="13" s="1"/>
  <c r="Q20" i="13"/>
  <c r="Q35" i="13" l="1"/>
  <c r="Q41" i="13" s="1"/>
  <c r="P38" i="13"/>
  <c r="Q38" i="13" l="1"/>
</calcChain>
</file>

<file path=xl/sharedStrings.xml><?xml version="1.0" encoding="utf-8"?>
<sst xmlns="http://schemas.openxmlformats.org/spreadsheetml/2006/main" count="429" uniqueCount="172">
  <si>
    <t>1 кв.</t>
  </si>
  <si>
    <t>2 кв.</t>
  </si>
  <si>
    <t>3 кв.</t>
  </si>
  <si>
    <t>4 кв.</t>
  </si>
  <si>
    <t>Запасы на начало периода</t>
  </si>
  <si>
    <t>Потери</t>
  </si>
  <si>
    <t>Личное потребление</t>
  </si>
  <si>
    <t>Производство</t>
  </si>
  <si>
    <t>Запасы на конец периода</t>
  </si>
  <si>
    <t>Формула</t>
  </si>
  <si>
    <t>Легенда</t>
  </si>
  <si>
    <t>Значение в данной ячейке должно быть ОБЯЗАТЕЛЬНО заполнено</t>
  </si>
  <si>
    <t>Значение в данной ячейке рассчитывается автоматически и не редактируется</t>
  </si>
  <si>
    <t>Наименование показателя</t>
  </si>
  <si>
    <t>Значение в данной ячейке заполняется автоматически, можно корректировать</t>
  </si>
  <si>
    <t>Таблица 2 - Данные по инвестиционным проектам</t>
  </si>
  <si>
    <t>Показатель баланса</t>
  </si>
  <si>
    <t>Объем ввоза, включая импорт</t>
  </si>
  <si>
    <t>Итого ресурсов в соответствующем году</t>
  </si>
  <si>
    <t>Объем вывоз, включая экспорт</t>
  </si>
  <si>
    <t>Таблица 4 - Данные для корректировки прогноза согласно уровня исторического минимума</t>
  </si>
  <si>
    <t>Наименование</t>
  </si>
  <si>
    <t>Обозначение</t>
  </si>
  <si>
    <t>1.1. Ввоз</t>
  </si>
  <si>
    <t>1.2. Вывоз</t>
  </si>
  <si>
    <t>1.3. Запасы на конец периода</t>
  </si>
  <si>
    <t>2. Минимальный остаток за 7 предыдущих лет</t>
  </si>
  <si>
    <t>3. Корректировки</t>
  </si>
  <si>
    <t>3.1. Необходимая корректировка остатка запасов на конец периода для приведения к уровню не ниже минимального в текущем квартале</t>
  </si>
  <si>
    <t>4. Прогнозные значения с учетом корректировки</t>
  </si>
  <si>
    <t>4.1. Ввоз</t>
  </si>
  <si>
    <t>4.2. Вывоз</t>
  </si>
  <si>
    <t>4.3. Запасы на конец периода</t>
  </si>
  <si>
    <t>5. Сумма корректировки нарастающим итогом (влияет на остаток в последующих периодах)</t>
  </si>
  <si>
    <t>5.1. Корректировка ввоза</t>
  </si>
  <si>
    <t>5.2. Корректировка вывоза</t>
  </si>
  <si>
    <t>5.3. Корректировка запасов на конец периода</t>
  </si>
  <si>
    <t>Ед. измерения</t>
  </si>
  <si>
    <t>1. Итого ресурсов</t>
  </si>
  <si>
    <t>1.1 Запасы на начало периода</t>
  </si>
  <si>
    <t>1.3 Ввоз, включая импорт</t>
  </si>
  <si>
    <t>Объем ввоза в предыдущем году</t>
  </si>
  <si>
    <t>Изменение ввоза относительно предыдущего года</t>
  </si>
  <si>
    <t>2. Итого использование</t>
  </si>
  <si>
    <t>Увеличение объема переработки вследствие ввода новых мощностей в соответствующем регионе</t>
  </si>
  <si>
    <t>Снижение объема переработки вследствие вывода существующих мощностей</t>
  </si>
  <si>
    <t>Изменение переработки вследствие изменения загрузки существующих мощностей</t>
  </si>
  <si>
    <t xml:space="preserve">Уровень потерь </t>
  </si>
  <si>
    <t>Объем вывоза, включая экспорт в предыдущем году</t>
  </si>
  <si>
    <t xml:space="preserve">Изменение вывоза относительно предыдущего года </t>
  </si>
  <si>
    <t>3. Запасы на конец периода</t>
  </si>
  <si>
    <t>Проверка на Итоги</t>
  </si>
  <si>
    <t>Обязательно к заполнению</t>
  </si>
  <si>
    <t>Возможна корректировка</t>
  </si>
  <si>
    <t>Значение не заполняется</t>
  </si>
  <si>
    <t>Таблица 3 - Статистическая база для разработки прогноза квартальных показателей</t>
  </si>
  <si>
    <t>(Таблица содержит фактические значения балансов за 3 предыдущих года с поквартальной разбивкой. Необходима для детализации годовых прогнозных показателей на квартальные)</t>
  </si>
  <si>
    <t>Строки/Колонки</t>
  </si>
  <si>
    <t>N0</t>
  </si>
  <si>
    <t>Тип ячейки</t>
  </si>
  <si>
    <t>Контрольная сумма</t>
  </si>
  <si>
    <t>Итого использовано</t>
  </si>
  <si>
    <t>Вывоз, включая экспорт</t>
  </si>
  <si>
    <t>Итого ресурсов</t>
  </si>
  <si>
    <t>Ввоз, включая импорт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</si>
  <si>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</si>
  <si>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</si>
  <si>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</si>
  <si>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</si>
  <si>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</si>
  <si>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</si>
  <si>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</si>
  <si>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</si>
  <si>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</si>
  <si>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</si>
  <si>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</si>
  <si>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</si>
  <si>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</si>
  <si>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</si>
  <si>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</si>
  <si>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2014 год</t>
  </si>
  <si>
    <t>2015 год</t>
  </si>
  <si>
    <t>2016 год</t>
  </si>
  <si>
    <t>2010 год</t>
  </si>
  <si>
    <t>2011 год</t>
  </si>
  <si>
    <t>2012 год</t>
  </si>
  <si>
    <t>2013 год</t>
  </si>
  <si>
    <t>Проверка на Контрольную сумму</t>
  </si>
  <si>
    <t>3.2. Сумма, на которую возможно уменьшить запасы на конец периода при сторнировании</t>
  </si>
  <si>
    <t>3.2.1. Сторно ввоза</t>
  </si>
  <si>
    <t>3.2.2. Сторно вывоза</t>
  </si>
  <si>
    <t>Таблица 5 - Распределение годовых значений по кварталам</t>
  </si>
  <si>
    <t>2.3 Потери</t>
  </si>
  <si>
    <t>2.4 Вывоз, включая экспорт</t>
  </si>
  <si>
    <t>Объем переработки на пищевые цели в предыдущем году</t>
  </si>
  <si>
    <t>Таблица 6 - Данные прогноза социально-экономического развития</t>
  </si>
  <si>
    <t>Таблица 7 - Данные прогноза социально-экономического развития</t>
  </si>
  <si>
    <t xml:space="preserve">Переработка </t>
  </si>
  <si>
    <t>Планируемая посевная площадь СХО</t>
  </si>
  <si>
    <t>тыс. га</t>
  </si>
  <si>
    <t>Планируемая посевная площадь КФХ</t>
  </si>
  <si>
    <t>Планируемая посевная площадь ЛПХ</t>
  </si>
  <si>
    <t>Прогнозируемая урожайность СХО</t>
  </si>
  <si>
    <t>ц/га</t>
  </si>
  <si>
    <t>Прогнозируемая урожайность КФХ</t>
  </si>
  <si>
    <t>Прогнозируемая урожайность ЛПХ</t>
  </si>
  <si>
    <t>2.1 Переработка на пищевые цели</t>
  </si>
  <si>
    <t>2.2 Личное потребление</t>
  </si>
  <si>
    <t>Посевная площадь СХО</t>
  </si>
  <si>
    <t>Посевная площадь КФХ</t>
  </si>
  <si>
    <t>Посевная площадь ЛПХ</t>
  </si>
  <si>
    <t>2000 год</t>
  </si>
  <si>
    <t>2001 год</t>
  </si>
  <si>
    <t>2002 год</t>
  </si>
  <si>
    <t>2003 год</t>
  </si>
  <si>
    <t>2004 год</t>
  </si>
  <si>
    <t>2005 год</t>
  </si>
  <si>
    <t>2006 год</t>
  </si>
  <si>
    <t>2007 год</t>
  </si>
  <si>
    <t>2008 год</t>
  </si>
  <si>
    <t>2009 год</t>
  </si>
  <si>
    <t>Урожайность по СХО</t>
  </si>
  <si>
    <t>Урожайность по КФХ</t>
  </si>
  <si>
    <t>Урожайность по ЛПХ</t>
  </si>
  <si>
    <t>Временной ряд (x)</t>
  </si>
  <si>
    <t>Расчет коэффициента для уравнения y=ax+b</t>
  </si>
  <si>
    <t>Коэффициенты для расчета урожайности по СХО</t>
  </si>
  <si>
    <t>Коэффициенты для расчета урожайности по КФХ</t>
  </si>
  <si>
    <t>Коэффициенты для расчета урожайности по ЛПХ</t>
  </si>
  <si>
    <t>Вид культуры</t>
  </si>
  <si>
    <t>a=</t>
  </si>
  <si>
    <t>b=</t>
  </si>
  <si>
    <t>Таблица 9 - Расчет корректировки согласно минимума исторического запаса (результат корректировки будет учтен на следующем шаге расчета)</t>
  </si>
  <si>
    <t>(Таблица содержит фактические значения за 17 предыдущих лет и 3 прогнозных года. Необходима для расчета прогнозных значений методом экстраполяции (используется линейный тренд))</t>
  </si>
  <si>
    <t>Таблица 8 - Расчет урожайности методом экстраполяции (используется линейный тренд)</t>
  </si>
  <si>
    <t>тыс. т</t>
  </si>
  <si>
    <t xml:space="preserve">(Таблица содержит фактические значения за 3 предыдущих года и плановые на 3 прогнозных года. </t>
  </si>
  <si>
    <t>тыс. чел.</t>
  </si>
  <si>
    <t>1.2 Производство (валовый сбор)</t>
  </si>
  <si>
    <t>Проверка</t>
  </si>
  <si>
    <t>Фрукты и ягоды</t>
  </si>
  <si>
    <t xml:space="preserve">Прогнозное среднедушевое потребление фруктов и ягод </t>
  </si>
  <si>
    <t>Переработка (п.2.1 Баланса)</t>
  </si>
  <si>
    <t xml:space="preserve">(Таблица заполняется на основании модуля инвестиционных проектов региона на 3 прогнозных года с поквартальной разбивкой, необходима для расчета </t>
  </si>
  <si>
    <r>
      <t xml:space="preserve">прогнозных значений по статьям </t>
    </r>
    <r>
      <rPr>
        <i/>
        <sz val="10"/>
        <color rgb="FFFF0000"/>
        <rFont val="Times New Roman"/>
        <family val="1"/>
        <charset val="204"/>
      </rPr>
      <t>"2.1 Переработка"</t>
    </r>
    <r>
      <rPr>
        <i/>
        <sz val="10"/>
        <color theme="9" tint="-0.249977111117893"/>
        <rFont val="Times New Roman"/>
        <family val="1"/>
        <charset val="204"/>
      </rPr>
      <t xml:space="preserve"> продовольственного баланса)</t>
    </r>
  </si>
  <si>
    <t>(В таблице рассчитываются коэффициенты для распределения годовых прогнозных значений на квартальные, на основании данных таблицы 3)</t>
  </si>
  <si>
    <t xml:space="preserve">(Таблица содержит фактические значения балансов за 7 предыдущих лет с поквартальной разбивкой. Необходима для расчета минимального значения </t>
  </si>
  <si>
    <t>запасов для авто корректировки на листе "3.Прогноз.С_корректировкой таб9")</t>
  </si>
  <si>
    <t>уд. вес</t>
  </si>
  <si>
    <t>Cсреднедушевое потребление фруктов и ягод</t>
  </si>
  <si>
    <t>Контрольная сумма: если значение не равно "0", значит необходимо скорректировать данные баланса Таблицы 3 и запасов Таблицы 4</t>
  </si>
  <si>
    <t>Проверка на наличие данных в Балансе: если значение больше "0", значит проверка пройдена</t>
  </si>
  <si>
    <t>Проверка на наличие данных в Запасах: если значение больше "0", значит проверка пройдена</t>
  </si>
  <si>
    <t>Таблица 1 - Данные по производству  фруктов и ягод</t>
  </si>
  <si>
    <t>Прогнозное среднедушевое потребление фруктов и ягод</t>
  </si>
  <si>
    <t>Численность населения на соответствующий год</t>
  </si>
  <si>
    <r>
      <t xml:space="preserve">Плановые значения по показателю </t>
    </r>
    <r>
      <rPr>
        <i/>
        <sz val="10"/>
        <color rgb="FFFF0000"/>
        <rFont val="Times New Roman"/>
        <family val="1"/>
        <charset val="204"/>
      </rPr>
      <t>"Прогнозная численность населения на соответствующий год"</t>
    </r>
    <r>
      <rPr>
        <i/>
        <sz val="10"/>
        <color theme="9" tint="-0.249977111117893"/>
        <rFont val="Times New Roman"/>
        <family val="1"/>
        <charset val="204"/>
      </rPr>
      <t xml:space="preserve"> вносится на основании прогноза социально-</t>
    </r>
  </si>
  <si>
    <t xml:space="preserve">(В таблице выполняется расчет значений для корректировок, согласно уровня исторического минимума запасов на конец периода, а также компенсаций </t>
  </si>
  <si>
    <t>произведенных корректировок в последующих кварталах прогнозного года)</t>
  </si>
  <si>
    <r>
      <t xml:space="preserve">(Таблица содержит фактические значения за 3 прогнозных года. Необходима для расчета прогнозных значений по статье </t>
    </r>
    <r>
      <rPr>
        <i/>
        <sz val="10"/>
        <color rgb="FFFF0000"/>
        <rFont val="Times New Roman"/>
        <family val="1"/>
        <charset val="204"/>
      </rPr>
      <t xml:space="preserve">"2.2 Личное потребление" </t>
    </r>
    <r>
      <rPr>
        <i/>
        <sz val="10"/>
        <color theme="9" tint="-0.249977111117893"/>
        <rFont val="Times New Roman"/>
        <family val="1"/>
        <charset val="204"/>
      </rPr>
      <t>продовольственного баланса)</t>
    </r>
  </si>
  <si>
    <r>
      <t xml:space="preserve">(Таблица содержит фактические значения за 3 предыдущих года и плановые - на 3 прогнозных года, необходима для расчета прогнозных значений по статье </t>
    </r>
    <r>
      <rPr>
        <i/>
        <sz val="10"/>
        <color rgb="FFFF0000"/>
        <rFont val="Times New Roman"/>
        <family val="1"/>
        <charset val="204"/>
      </rPr>
      <t>"1.2 Производство (валовый сбор)"</t>
    </r>
    <r>
      <rPr>
        <i/>
        <sz val="10"/>
        <color theme="9" tint="-0.249977111117893"/>
        <rFont val="Times New Roman"/>
        <family val="1"/>
        <charset val="204"/>
      </rPr>
      <t xml:space="preserve"> продовольственного баланса)</t>
    </r>
  </si>
  <si>
    <r>
      <t xml:space="preserve">экономического развития Региона. Необходима для расчета прогнозных значений по статье </t>
    </r>
    <r>
      <rPr>
        <i/>
        <sz val="10"/>
        <color rgb="FFFF0000"/>
        <rFont val="Times New Roman"/>
        <family val="1"/>
        <charset val="204"/>
      </rPr>
      <t>"2.2 Личное потребление"</t>
    </r>
    <r>
      <rPr>
        <i/>
        <sz val="10"/>
        <color theme="9" tint="-0.249977111117893"/>
        <rFont val="Times New Roman"/>
        <family val="1"/>
        <charset val="204"/>
      </rPr>
      <t xml:space="preserve"> продовольственного баланса)</t>
    </r>
  </si>
  <si>
    <t xml:space="preserve">Прогнозная численность населения </t>
  </si>
  <si>
    <t>Прогнозная численность населения</t>
  </si>
  <si>
    <t>кг/чел.</t>
  </si>
  <si>
    <t>Комментарий по отклонению прогнозного баланса</t>
  </si>
  <si>
    <t>Показатель  баланса</t>
  </si>
  <si>
    <t>Отклонения (Прирост), %</t>
  </si>
  <si>
    <t>Комментарий</t>
  </si>
  <si>
    <t xml:space="preserve">2.1 Переработка на пищевые цели </t>
  </si>
  <si>
    <t>000297698</t>
  </si>
  <si>
    <t>потери при хранении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</si>
</sst>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.000"/>
    <numFmt numFmtId="165" formatCode="_-* #,##0.00,_₽_-;\-* #,##0.00,_₽_-;_-* \-??\ _₽_-;_-@_-"/>
    <numFmt numFmtId="166" formatCode="0&quot; кв.&quot;"/>
    <numFmt numFmtId="167" formatCode="#,##0.000"/>
    <numFmt numFmtId="168" formatCode="#,##0_ ;[Red]\-#,##0\ "/>
    <numFmt numFmtId="169" formatCode="[=0]&quot;&quot;;General"/>
    <numFmt numFmtId="170" formatCode="#,##0.000_ ;\-#,##0.000\ "/>
  </numFmts>
  <fonts count="42" x14ac:knownFonts="1">
    <font>
      <sz val="11"/>
      <color rgb="FF000000"/>
      <name val="Calibri"/>
      <family val="2"/>
      <charset val="1"/>
    </font>
    <font>
      <sz val="11"/>
      <color indexed="55"/>
      <name val="Times New Roman"/>
      <family val="1"/>
      <charset val="204"/>
    </font>
    <font>
      <b/>
      <sz val="11"/>
      <color indexed="55"/>
      <name val="Times New Roman"/>
      <family val="1"/>
      <charset val="204"/>
    </font>
    <font>
      <b/>
      <sz val="10"/>
      <name val="Arial"/>
      <family val="2"/>
      <charset val="204"/>
    </font>
    <font>
      <sz val="11"/>
      <name val="Times New Roman"/>
      <family val="1"/>
      <charset val="204"/>
    </font>
    <font>
      <i/>
      <sz val="11"/>
      <color indexed="55"/>
      <name val="Times New Roman"/>
      <family val="1"/>
      <charset val="204"/>
    </font>
    <font>
      <sz val="11"/>
      <color indexed="45"/>
      <name val="Calibri"/>
      <family val="2"/>
      <charset val="1"/>
    </font>
    <font>
      <i/>
      <sz val="10"/>
      <name val="Times New Roman"/>
      <family val="1"/>
      <charset val="204"/>
    </font>
    <font>
      <sz val="11"/>
      <color indexed="55"/>
      <name val="Calibri"/>
      <family val="2"/>
      <charset val="1"/>
    </font>
    <font>
      <b/>
      <sz val="11"/>
      <color indexed="55"/>
      <name val="Calibri"/>
      <family val="2"/>
      <charset val="1"/>
    </font>
    <font>
      <b/>
      <sz val="11"/>
      <color indexed="55"/>
      <name val="Times New Roman"/>
      <family val="1"/>
      <charset val="204"/>
    </font>
    <font>
      <sz val="11"/>
      <color indexed="55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45"/>
      <name val="Times New Roman"/>
      <family val="1"/>
      <charset val="204"/>
    </font>
    <font>
      <sz val="8"/>
      <name val="Arial"/>
      <family val="2"/>
    </font>
    <font>
      <b/>
      <sz val="12"/>
      <name val="Times New Roman"/>
      <family val="1"/>
      <charset val="204"/>
    </font>
    <font>
      <sz val="11"/>
      <name val="Calibri"/>
      <family val="2"/>
      <charset val="1"/>
    </font>
    <font>
      <sz val="11"/>
      <color indexed="33"/>
      <name val="Calibri"/>
      <family val="2"/>
      <charset val="1"/>
    </font>
    <font>
      <b/>
      <sz val="11"/>
      <color indexed="45"/>
      <name val="Calibri"/>
      <family val="2"/>
      <charset val="204"/>
    </font>
    <font>
      <sz val="8"/>
      <name val="Calibri"/>
      <family val="2"/>
      <charset val="1"/>
    </font>
    <font>
      <i/>
      <sz val="11"/>
      <color indexed="55"/>
      <name val="Times New Roman"/>
      <family val="1"/>
      <charset val="204"/>
    </font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color rgb="FF000000"/>
      <name val="Times New Roman"/>
      <family val="1"/>
      <charset val="204"/>
    </font>
    <font>
      <i/>
      <sz val="11"/>
      <color rgb="FF000000"/>
      <name val="Calibri"/>
      <family val="2"/>
      <charset val="1"/>
    </font>
    <font>
      <b/>
      <sz val="11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0070C0"/>
      <name val="Times New Roman"/>
      <family val="1"/>
      <charset val="204"/>
    </font>
    <font>
      <i/>
      <sz val="10"/>
      <color theme="9" tint="-0.249977111117893"/>
      <name val="Times New Roman"/>
      <family val="1"/>
      <charset val="204"/>
    </font>
    <font>
      <i/>
      <sz val="10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color rgb="FFFF0000"/>
      <name val="Calibri"/>
      <family val="2"/>
      <charset val="204"/>
    </font>
    <font>
      <b/>
      <sz val="10"/>
      <name val="Times New Roman"/>
      <family val="1"/>
      <charset val="204"/>
    </font>
    <font>
      <b/>
      <sz val="11"/>
      <color rgb="FF000000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indexed="55"/>
      <name val="Calibri"/>
      <family val="2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4"/>
      <color rgb="FFFF0000"/>
      <name val="Times New Roman"/>
      <family val="1"/>
      <charset val="204"/>
    </font>
  </fonts>
  <fills count="23">
    <fill>
      <patternFill patternType="none"/>
    </fill>
    <fill>
      <patternFill patternType="gray125"/>
    </fill>
    <fill>
      <patternFill patternType="solid">
        <fgColor indexed="33"/>
        <bgColor indexed="18"/>
      </patternFill>
    </fill>
    <fill>
      <patternFill patternType="solid">
        <fgColor indexed="33"/>
        <bgColor indexed="64"/>
      </patternFill>
    </fill>
    <fill>
      <patternFill patternType="lightUp">
        <fgColor indexed="55"/>
        <bgColor indexed="14"/>
      </patternFill>
    </fill>
    <fill>
      <patternFill patternType="solid">
        <fgColor theme="7" tint="0.59999389629810485"/>
        <bgColor rgb="FFF2DCDB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3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18"/>
      </patternFill>
    </fill>
    <fill>
      <patternFill patternType="solid">
        <fgColor theme="0"/>
        <bgColor rgb="FFEBF1DE"/>
      </patternFill>
    </fill>
    <fill>
      <patternFill patternType="solid">
        <fgColor theme="4" tint="0.59999389629810485"/>
        <bgColor rgb="FFDFDFE0"/>
      </patternFill>
    </fill>
    <fill>
      <patternFill patternType="solid">
        <fgColor theme="0"/>
        <bgColor rgb="FFDFDFE0"/>
      </patternFill>
    </fill>
    <fill>
      <patternFill patternType="lightUp">
        <fgColor theme="1"/>
        <bgColor rgb="FFBFBFC0"/>
      </patternFill>
    </fill>
    <fill>
      <patternFill patternType="solid">
        <fgColor rgb="FFFFFFFF"/>
        <bgColor rgb="FFEBF1DE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rgb="FFDCE6F2"/>
      </patternFill>
    </fill>
    <fill>
      <patternFill patternType="solid">
        <fgColor theme="0"/>
        <bgColor rgb="FFB7DEE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rgb="FFB7DEE8"/>
      </patternFill>
    </fill>
    <fill>
      <patternFill patternType="solid">
        <fgColor theme="4" tint="0.59999389629810485"/>
        <bgColor rgb="FFEBF1DE"/>
      </patternFill>
    </fill>
    <fill>
      <patternFill patternType="solid">
        <fgColor rgb="FFB9CDE5"/>
        <bgColor indexed="55"/>
      </patternFill>
    </fill>
  </fills>
  <borders count="6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0" fontId="14" fillId="0" borderId="0"/>
    <xf numFmtId="165" fontId="21" fillId="0" borderId="0" applyBorder="0" applyProtection="0"/>
    <xf numFmtId="165" fontId="21" fillId="0" borderId="0" applyBorder="0" applyProtection="0"/>
    <xf numFmtId="0" fontId="14" fillId="0" borderId="0"/>
  </cellStyleXfs>
  <cellXfs count="565">
    <xf numFmtId="0" fontId="0" fillId="0" borderId="0" xfId="0"/>
    <xf numFmtId="0" fontId="1" fillId="0" borderId="0" xfId="0" applyFont="1" applyBorder="1"/>
    <xf numFmtId="167" fontId="0" fillId="0" borderId="0" xfId="0" applyNumberFormat="1"/>
    <xf numFmtId="0" fontId="0" fillId="0" borderId="0" xfId="0" applyFont="1"/>
    <xf numFmtId="0" fontId="1" fillId="0" borderId="0" xfId="0" applyFont="1"/>
    <xf numFmtId="0" fontId="3" fillId="0" borderId="0" xfId="0" applyFont="1" applyAlignment="1">
      <alignment horizontal="right"/>
    </xf>
    <xf numFmtId="167" fontId="1" fillId="0" borderId="0" xfId="0" applyNumberFormat="1" applyFont="1"/>
    <xf numFmtId="0" fontId="1" fillId="0" borderId="0" xfId="0" applyFont="1" applyBorder="1" applyAlignment="1">
      <alignment horizontal="center"/>
    </xf>
    <xf numFmtId="0" fontId="7" fillId="0" borderId="0" xfId="0" applyFont="1" applyAlignment="1">
      <alignment horizontal="left"/>
    </xf>
    <xf numFmtId="0" fontId="0" fillId="2" borderId="0" xfId="0" applyFill="1"/>
    <xf numFmtId="0" fontId="0" fillId="0" borderId="0" xfId="0" applyFill="1"/>
    <xf numFmtId="0" fontId="9" fillId="0" borderId="0" xfId="0" applyFont="1"/>
    <xf numFmtId="0" fontId="11" fillId="0" borderId="1" xfId="0" applyFont="1" applyFill="1" applyBorder="1" applyAlignment="1">
      <alignment horizontal="right"/>
    </xf>
    <xf numFmtId="0" fontId="10" fillId="0" borderId="0" xfId="0" applyFont="1" applyBorder="1" applyAlignment="1"/>
    <xf numFmtId="0" fontId="0" fillId="0" borderId="0" xfId="0" applyBorder="1"/>
    <xf numFmtId="0" fontId="2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vertical="center"/>
    </xf>
    <xf numFmtId="0" fontId="1" fillId="0" borderId="0" xfId="0" applyFont="1" applyBorder="1" applyAlignment="1"/>
    <xf numFmtId="0" fontId="2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left" wrapText="1"/>
    </xf>
    <xf numFmtId="0" fontId="1" fillId="0" borderId="0" xfId="0" applyFont="1" applyFill="1" applyBorder="1" applyAlignment="1">
      <alignment horizontal="left" indent="2"/>
    </xf>
    <xf numFmtId="0" fontId="1" fillId="0" borderId="0" xfId="0" applyFont="1" applyFill="1" applyBorder="1" applyAlignment="1">
      <alignment horizontal="center"/>
    </xf>
    <xf numFmtId="4" fontId="1" fillId="0" borderId="0" xfId="0" applyNumberFormat="1" applyFont="1" applyFill="1" applyBorder="1"/>
    <xf numFmtId="3" fontId="1" fillId="0" borderId="0" xfId="0" applyNumberFormat="1" applyFont="1" applyFill="1" applyBorder="1"/>
    <xf numFmtId="0" fontId="1" fillId="0" borderId="0" xfId="0" applyFont="1" applyFill="1"/>
    <xf numFmtId="167" fontId="1" fillId="0" borderId="0" xfId="0" applyNumberFormat="1" applyFont="1" applyFill="1" applyBorder="1"/>
    <xf numFmtId="167" fontId="2" fillId="0" borderId="0" xfId="0" applyNumberFormat="1" applyFont="1" applyFill="1" applyBorder="1"/>
    <xf numFmtId="0" fontId="17" fillId="0" borderId="0" xfId="0" applyFont="1" applyProtection="1"/>
    <xf numFmtId="49" fontId="16" fillId="0" borderId="0" xfId="0" applyNumberFormat="1" applyFont="1" applyProtection="1">
      <protection locked="0"/>
    </xf>
    <xf numFmtId="167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164" fontId="9" fillId="0" borderId="0" xfId="0" applyNumberFormat="1" applyFont="1"/>
    <xf numFmtId="0" fontId="1" fillId="0" borderId="0" xfId="0" applyFont="1" applyBorder="1" applyAlignment="1">
      <alignment horizontal="left" wrapText="1"/>
    </xf>
    <xf numFmtId="3" fontId="22" fillId="5" borderId="3" xfId="0" applyNumberFormat="1" applyFont="1" applyFill="1" applyBorder="1"/>
    <xf numFmtId="164" fontId="2" fillId="0" borderId="7" xfId="0" applyNumberFormat="1" applyFont="1" applyBorder="1" applyAlignment="1">
      <alignment horizontal="right"/>
    </xf>
    <xf numFmtId="164" fontId="2" fillId="0" borderId="8" xfId="0" applyNumberFormat="1" applyFont="1" applyBorder="1" applyAlignment="1">
      <alignment horizontal="right"/>
    </xf>
    <xf numFmtId="164" fontId="2" fillId="0" borderId="19" xfId="0" applyNumberFormat="1" applyFont="1" applyBorder="1" applyAlignment="1">
      <alignment horizontal="right"/>
    </xf>
    <xf numFmtId="0" fontId="1" fillId="3" borderId="0" xfId="0" applyFont="1" applyFill="1" applyBorder="1" applyAlignment="1">
      <alignment horizontal="center"/>
    </xf>
    <xf numFmtId="0" fontId="1" fillId="3" borderId="0" xfId="0" applyFont="1" applyFill="1" applyBorder="1"/>
    <xf numFmtId="10" fontId="2" fillId="0" borderId="20" xfId="0" applyNumberFormat="1" applyFont="1" applyBorder="1" applyAlignment="1">
      <alignment horizontal="center" vertical="center" wrapText="1"/>
    </xf>
    <xf numFmtId="0" fontId="1" fillId="3" borderId="13" xfId="0" applyFont="1" applyFill="1" applyBorder="1"/>
    <xf numFmtId="0" fontId="1" fillId="3" borderId="21" xfId="0" applyFont="1" applyFill="1" applyBorder="1" applyAlignment="1">
      <alignment horizontal="center"/>
    </xf>
    <xf numFmtId="10" fontId="2" fillId="0" borderId="10" xfId="0" applyNumberFormat="1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/>
    </xf>
    <xf numFmtId="167" fontId="0" fillId="0" borderId="0" xfId="0" applyNumberFormat="1" applyBorder="1"/>
    <xf numFmtId="0" fontId="1" fillId="8" borderId="0" xfId="0" applyFont="1" applyFill="1"/>
    <xf numFmtId="0" fontId="0" fillId="8" borderId="0" xfId="0" applyFill="1"/>
    <xf numFmtId="167" fontId="1" fillId="8" borderId="0" xfId="0" applyNumberFormat="1" applyFont="1" applyFill="1"/>
    <xf numFmtId="167" fontId="2" fillId="7" borderId="24" xfId="0" applyNumberFormat="1" applyFont="1" applyFill="1" applyBorder="1" applyAlignment="1">
      <alignment horizontal="right"/>
    </xf>
    <xf numFmtId="167" fontId="2" fillId="8" borderId="24" xfId="0" applyNumberFormat="1" applyFont="1" applyFill="1" applyBorder="1" applyAlignment="1">
      <alignment horizontal="right"/>
    </xf>
    <xf numFmtId="0" fontId="2" fillId="3" borderId="20" xfId="0" applyFont="1" applyFill="1" applyBorder="1" applyAlignment="1">
      <alignment horizontal="left"/>
    </xf>
    <xf numFmtId="0" fontId="0" fillId="0" borderId="0" xfId="0" applyNumberFormat="1"/>
    <xf numFmtId="0" fontId="4" fillId="0" borderId="0" xfId="0" applyNumberFormat="1" applyFont="1" applyFill="1" applyBorder="1" applyAlignment="1">
      <alignment horizontal="right"/>
    </xf>
    <xf numFmtId="0" fontId="15" fillId="0" borderId="0" xfId="0" applyNumberFormat="1" applyFont="1" applyBorder="1" applyAlignment="1">
      <alignment vertical="center" wrapText="1"/>
    </xf>
    <xf numFmtId="164" fontId="12" fillId="0" borderId="7" xfId="0" applyNumberFormat="1" applyFont="1" applyBorder="1" applyAlignment="1">
      <alignment horizontal="right"/>
    </xf>
    <xf numFmtId="169" fontId="12" fillId="0" borderId="7" xfId="0" applyNumberFormat="1" applyFont="1" applyBorder="1" applyAlignment="1">
      <alignment horizontal="right"/>
    </xf>
    <xf numFmtId="164" fontId="12" fillId="0" borderId="7" xfId="0" applyNumberFormat="1" applyFont="1" applyBorder="1" applyAlignment="1">
      <alignment horizontal="right" wrapText="1"/>
    </xf>
    <xf numFmtId="169" fontId="12" fillId="0" borderId="7" xfId="0" applyNumberFormat="1" applyFont="1" applyBorder="1" applyAlignment="1">
      <alignment horizontal="right" wrapText="1"/>
    </xf>
    <xf numFmtId="0" fontId="8" fillId="0" borderId="0" xfId="0" applyFont="1"/>
    <xf numFmtId="165" fontId="18" fillId="0" borderId="0" xfId="3" applyFont="1" applyBorder="1" applyAlignment="1">
      <alignment horizontal="center" vertical="top" wrapText="1"/>
    </xf>
    <xf numFmtId="0" fontId="22" fillId="0" borderId="30" xfId="0" applyFont="1" applyBorder="1" applyAlignment="1">
      <alignment horizontal="center"/>
    </xf>
    <xf numFmtId="167" fontId="22" fillId="10" borderId="0" xfId="0" applyNumberFormat="1" applyFont="1" applyFill="1" applyBorder="1" applyAlignment="1" applyProtection="1">
      <alignment horizontal="right"/>
      <protection hidden="1"/>
    </xf>
    <xf numFmtId="0" fontId="0" fillId="0" borderId="31" xfId="0" applyBorder="1"/>
    <xf numFmtId="167" fontId="22" fillId="11" borderId="34" xfId="0" applyNumberFormat="1" applyFont="1" applyFill="1" applyBorder="1" applyAlignment="1" applyProtection="1">
      <alignment horizontal="right"/>
      <protection locked="0"/>
    </xf>
    <xf numFmtId="0" fontId="1" fillId="0" borderId="43" xfId="0" applyFont="1" applyFill="1" applyBorder="1" applyAlignment="1">
      <alignment horizontal="left" indent="1"/>
    </xf>
    <xf numFmtId="0" fontId="1" fillId="0" borderId="21" xfId="0" applyFont="1" applyFill="1" applyBorder="1" applyAlignment="1">
      <alignment horizontal="center"/>
    </xf>
    <xf numFmtId="0" fontId="1" fillId="8" borderId="44" xfId="0" applyFont="1" applyFill="1" applyBorder="1" applyAlignment="1">
      <alignment horizontal="center"/>
    </xf>
    <xf numFmtId="0" fontId="1" fillId="0" borderId="10" xfId="0" applyFont="1" applyBorder="1" applyAlignment="1">
      <alignment horizontal="center"/>
    </xf>
    <xf numFmtId="164" fontId="2" fillId="0" borderId="13" xfId="0" applyNumberFormat="1" applyFont="1" applyBorder="1" applyAlignment="1">
      <alignment horizontal="right"/>
    </xf>
    <xf numFmtId="164" fontId="2" fillId="0" borderId="37" xfId="0" applyNumberFormat="1" applyFont="1" applyBorder="1" applyAlignment="1">
      <alignment horizontal="right"/>
    </xf>
    <xf numFmtId="0" fontId="2" fillId="0" borderId="30" xfId="0" applyFont="1" applyBorder="1" applyAlignment="1">
      <alignment horizontal="center"/>
    </xf>
    <xf numFmtId="0" fontId="23" fillId="0" borderId="0" xfId="0" applyFont="1" applyAlignment="1">
      <alignment horizontal="center"/>
    </xf>
    <xf numFmtId="10" fontId="25" fillId="0" borderId="10" xfId="0" applyNumberFormat="1" applyFont="1" applyBorder="1" applyAlignment="1">
      <alignment horizontal="center" vertical="center" wrapText="1"/>
    </xf>
    <xf numFmtId="167" fontId="22" fillId="11" borderId="47" xfId="0" applyNumberFormat="1" applyFont="1" applyFill="1" applyBorder="1" applyAlignment="1" applyProtection="1">
      <alignment horizontal="right"/>
      <protection locked="0"/>
    </xf>
    <xf numFmtId="10" fontId="24" fillId="0" borderId="0" xfId="0" applyNumberFormat="1" applyFont="1" applyBorder="1" applyAlignment="1">
      <alignment horizontal="left" wrapText="1"/>
    </xf>
    <xf numFmtId="0" fontId="24" fillId="0" borderId="0" xfId="0" applyFont="1" applyFill="1" applyBorder="1" applyAlignment="1">
      <alignment horizontal="center" vertical="center"/>
    </xf>
    <xf numFmtId="167" fontId="24" fillId="8" borderId="0" xfId="0" applyNumberFormat="1" applyFont="1" applyFill="1" applyBorder="1"/>
    <xf numFmtId="167" fontId="24" fillId="8" borderId="0" xfId="0" applyNumberFormat="1" applyFont="1" applyFill="1" applyBorder="1" applyAlignment="1">
      <alignment horizontal="center"/>
    </xf>
    <xf numFmtId="167" fontId="24" fillId="0" borderId="0" xfId="0" applyNumberFormat="1" applyFont="1" applyFill="1" applyBorder="1" applyAlignment="1">
      <alignment horizontal="center"/>
    </xf>
    <xf numFmtId="0" fontId="22" fillId="0" borderId="0" xfId="0" applyFont="1" applyBorder="1" applyAlignment="1">
      <alignment horizontal="center"/>
    </xf>
    <xf numFmtId="10" fontId="25" fillId="0" borderId="0" xfId="0" applyNumberFormat="1" applyFont="1" applyBorder="1" applyAlignment="1">
      <alignment horizontal="center" vertical="center" wrapText="1"/>
    </xf>
    <xf numFmtId="0" fontId="2" fillId="8" borderId="0" xfId="0" applyFont="1" applyFill="1" applyBorder="1" applyAlignment="1">
      <alignment horizontal="left"/>
    </xf>
    <xf numFmtId="0" fontId="1" fillId="8" borderId="0" xfId="0" applyFont="1" applyFill="1" applyBorder="1" applyAlignment="1">
      <alignment horizontal="center"/>
    </xf>
    <xf numFmtId="164" fontId="4" fillId="0" borderId="27" xfId="0" applyNumberFormat="1" applyFont="1" applyBorder="1" applyAlignment="1">
      <alignment horizontal="right"/>
    </xf>
    <xf numFmtId="164" fontId="4" fillId="0" borderId="29" xfId="0" applyNumberFormat="1" applyFont="1" applyBorder="1" applyAlignment="1">
      <alignment horizontal="right"/>
    </xf>
    <xf numFmtId="164" fontId="12" fillId="0" borderId="19" xfId="0" applyNumberFormat="1" applyFont="1" applyBorder="1" applyAlignment="1">
      <alignment horizontal="right"/>
    </xf>
    <xf numFmtId="164" fontId="4" fillId="0" borderId="22" xfId="0" applyNumberFormat="1" applyFont="1" applyBorder="1" applyAlignment="1">
      <alignment horizontal="right"/>
    </xf>
    <xf numFmtId="0" fontId="27" fillId="0" borderId="0" xfId="0" applyFont="1"/>
    <xf numFmtId="0" fontId="27" fillId="14" borderId="0" xfId="0" applyFont="1" applyFill="1"/>
    <xf numFmtId="167" fontId="22" fillId="11" borderId="5" xfId="0" applyNumberFormat="1" applyFont="1" applyFill="1" applyBorder="1" applyAlignment="1" applyProtection="1">
      <alignment horizontal="right"/>
      <protection locked="0"/>
    </xf>
    <xf numFmtId="167" fontId="22" fillId="11" borderId="27" xfId="0" applyNumberFormat="1" applyFont="1" applyFill="1" applyBorder="1" applyAlignment="1" applyProtection="1">
      <alignment horizontal="right"/>
      <protection locked="0"/>
    </xf>
    <xf numFmtId="167" fontId="22" fillId="11" borderId="22" xfId="0" applyNumberFormat="1" applyFont="1" applyFill="1" applyBorder="1" applyAlignment="1" applyProtection="1">
      <alignment horizontal="right"/>
      <protection locked="0"/>
    </xf>
    <xf numFmtId="167" fontId="22" fillId="11" borderId="6" xfId="0" applyNumberFormat="1" applyFont="1" applyFill="1" applyBorder="1" applyAlignment="1" applyProtection="1">
      <alignment horizontal="right"/>
      <protection locked="0"/>
    </xf>
    <xf numFmtId="167" fontId="2" fillId="8" borderId="33" xfId="0" applyNumberFormat="1" applyFont="1" applyFill="1" applyBorder="1"/>
    <xf numFmtId="167" fontId="2" fillId="8" borderId="42" xfId="0" applyNumberFormat="1" applyFont="1" applyFill="1" applyBorder="1"/>
    <xf numFmtId="10" fontId="25" fillId="0" borderId="20" xfId="0" applyNumberFormat="1" applyFont="1" applyBorder="1" applyAlignment="1">
      <alignment horizontal="center" vertical="center" wrapText="1"/>
    </xf>
    <xf numFmtId="167" fontId="22" fillId="11" borderId="32" xfId="0" applyNumberFormat="1" applyFont="1" applyFill="1" applyBorder="1" applyAlignment="1" applyProtection="1">
      <alignment horizontal="right"/>
      <protection locked="0"/>
    </xf>
    <xf numFmtId="10" fontId="28" fillId="0" borderId="48" xfId="0" applyNumberFormat="1" applyFont="1" applyBorder="1" applyAlignment="1">
      <alignment horizontal="center" vertical="center" wrapText="1"/>
    </xf>
    <xf numFmtId="10" fontId="28" fillId="0" borderId="12" xfId="0" applyNumberFormat="1" applyFont="1" applyBorder="1" applyAlignment="1">
      <alignment horizontal="center" vertical="center" wrapText="1"/>
    </xf>
    <xf numFmtId="10" fontId="28" fillId="0" borderId="9" xfId="0" applyNumberFormat="1" applyFont="1" applyBorder="1" applyAlignment="1">
      <alignment horizontal="center" vertical="center" wrapText="1"/>
    </xf>
    <xf numFmtId="10" fontId="28" fillId="0" borderId="10" xfId="0" applyNumberFormat="1" applyFont="1" applyBorder="1" applyAlignment="1">
      <alignment horizontal="center" vertical="center" wrapText="1"/>
    </xf>
    <xf numFmtId="0" fontId="22" fillId="0" borderId="46" xfId="0" applyFont="1" applyBorder="1" applyAlignment="1">
      <alignment horizontal="center"/>
    </xf>
    <xf numFmtId="167" fontId="22" fillId="11" borderId="17" xfId="0" applyNumberFormat="1" applyFont="1" applyFill="1" applyBorder="1" applyAlignment="1" applyProtection="1">
      <alignment horizontal="right"/>
      <protection locked="0"/>
    </xf>
    <xf numFmtId="167" fontId="22" fillId="11" borderId="3" xfId="0" applyNumberFormat="1" applyFont="1" applyFill="1" applyBorder="1" applyAlignment="1" applyProtection="1">
      <alignment horizontal="right"/>
      <protection locked="0"/>
    </xf>
    <xf numFmtId="167" fontId="22" fillId="11" borderId="14" xfId="0" applyNumberFormat="1" applyFont="1" applyFill="1" applyBorder="1" applyAlignment="1" applyProtection="1">
      <alignment horizontal="right"/>
      <protection locked="0"/>
    </xf>
    <xf numFmtId="167" fontId="24" fillId="0" borderId="0" xfId="0" applyNumberFormat="1" applyFont="1" applyFill="1" applyBorder="1" applyAlignment="1">
      <alignment horizontal="center" vertical="center"/>
    </xf>
    <xf numFmtId="0" fontId="22" fillId="0" borderId="0" xfId="0" applyFont="1"/>
    <xf numFmtId="0" fontId="22" fillId="6" borderId="18" xfId="0" applyFont="1" applyFill="1" applyBorder="1"/>
    <xf numFmtId="0" fontId="22" fillId="6" borderId="15" xfId="0" applyFont="1" applyFill="1" applyBorder="1"/>
    <xf numFmtId="0" fontId="22" fillId="6" borderId="16" xfId="0" applyFont="1" applyFill="1" applyBorder="1"/>
    <xf numFmtId="0" fontId="22" fillId="0" borderId="0" xfId="0" applyFont="1" applyBorder="1"/>
    <xf numFmtId="0" fontId="22" fillId="0" borderId="0" xfId="0" applyFont="1" applyAlignment="1">
      <alignment horizontal="center"/>
    </xf>
    <xf numFmtId="3" fontId="22" fillId="5" borderId="3" xfId="0" applyNumberFormat="1" applyFont="1" applyFill="1" applyBorder="1" applyAlignment="1">
      <alignment horizontal="center"/>
    </xf>
    <xf numFmtId="0" fontId="22" fillId="0" borderId="50" xfId="0" applyFont="1" applyBorder="1" applyAlignment="1">
      <alignment horizontal="center"/>
    </xf>
    <xf numFmtId="167" fontId="22" fillId="11" borderId="18" xfId="0" applyNumberFormat="1" applyFont="1" applyFill="1" applyBorder="1" applyAlignment="1" applyProtection="1">
      <alignment horizontal="right"/>
      <protection locked="0"/>
    </xf>
    <xf numFmtId="167" fontId="22" fillId="11" borderId="15" xfId="0" applyNumberFormat="1" applyFont="1" applyFill="1" applyBorder="1" applyAlignment="1" applyProtection="1">
      <alignment horizontal="right"/>
      <protection locked="0"/>
    </xf>
    <xf numFmtId="167" fontId="22" fillId="11" borderId="16" xfId="0" applyNumberFormat="1" applyFont="1" applyFill="1" applyBorder="1" applyAlignment="1" applyProtection="1">
      <alignment horizontal="right"/>
      <protection locked="0"/>
    </xf>
    <xf numFmtId="0" fontId="13" fillId="0" borderId="0" xfId="0" applyFont="1" applyBorder="1" applyAlignment="1">
      <alignment vertical="center"/>
    </xf>
    <xf numFmtId="164" fontId="2" fillId="0" borderId="30" xfId="0" applyNumberFormat="1" applyFont="1" applyBorder="1" applyAlignment="1">
      <alignment horizontal="right"/>
    </xf>
    <xf numFmtId="164" fontId="2" fillId="0" borderId="46" xfId="0" applyNumberFormat="1" applyFont="1" applyBorder="1" applyAlignment="1">
      <alignment horizontal="right"/>
    </xf>
    <xf numFmtId="0" fontId="0" fillId="0" borderId="31" xfId="0" applyBorder="1" applyAlignment="1">
      <alignment horizontal="center"/>
    </xf>
    <xf numFmtId="164" fontId="2" fillId="0" borderId="50" xfId="0" applyNumberFormat="1" applyFont="1" applyBorder="1" applyAlignment="1">
      <alignment horizontal="right"/>
    </xf>
    <xf numFmtId="167" fontId="22" fillId="11" borderId="33" xfId="0" applyNumberFormat="1" applyFont="1" applyFill="1" applyBorder="1" applyAlignment="1" applyProtection="1">
      <alignment horizontal="right"/>
      <protection locked="0"/>
    </xf>
    <xf numFmtId="167" fontId="22" fillId="11" borderId="49" xfId="0" applyNumberFormat="1" applyFont="1" applyFill="1" applyBorder="1" applyAlignment="1" applyProtection="1">
      <alignment horizontal="right"/>
      <protection locked="0"/>
    </xf>
    <xf numFmtId="0" fontId="1" fillId="8" borderId="14" xfId="0" applyFont="1" applyFill="1" applyBorder="1" applyAlignment="1">
      <alignment horizontal="center"/>
    </xf>
    <xf numFmtId="0" fontId="24" fillId="0" borderId="44" xfId="0" applyFont="1" applyFill="1" applyBorder="1" applyAlignment="1">
      <alignment horizontal="center" vertical="center"/>
    </xf>
    <xf numFmtId="10" fontId="28" fillId="0" borderId="20" xfId="0" applyNumberFormat="1" applyFont="1" applyBorder="1" applyAlignment="1">
      <alignment horizontal="center" vertical="center" wrapText="1"/>
    </xf>
    <xf numFmtId="167" fontId="22" fillId="15" borderId="22" xfId="0" applyNumberFormat="1" applyFont="1" applyFill="1" applyBorder="1" applyAlignment="1" applyProtection="1">
      <alignment horizontal="right"/>
      <protection locked="0"/>
    </xf>
    <xf numFmtId="167" fontId="22" fillId="15" borderId="32" xfId="0" applyNumberFormat="1" applyFont="1" applyFill="1" applyBorder="1" applyAlignment="1" applyProtection="1">
      <alignment horizontal="right"/>
      <protection locked="0"/>
    </xf>
    <xf numFmtId="0" fontId="1" fillId="8" borderId="28" xfId="0" applyFont="1" applyFill="1" applyBorder="1" applyAlignment="1">
      <alignment horizontal="center"/>
    </xf>
    <xf numFmtId="167" fontId="2" fillId="8" borderId="32" xfId="0" applyNumberFormat="1" applyFont="1" applyFill="1" applyBorder="1"/>
    <xf numFmtId="167" fontId="22" fillId="11" borderId="38" xfId="0" applyNumberFormat="1" applyFont="1" applyFill="1" applyBorder="1" applyAlignment="1" applyProtection="1">
      <alignment horizontal="right"/>
      <protection locked="0"/>
    </xf>
    <xf numFmtId="167" fontId="22" fillId="11" borderId="39" xfId="0" applyNumberFormat="1" applyFont="1" applyFill="1" applyBorder="1" applyAlignment="1" applyProtection="1">
      <alignment horizontal="right"/>
      <protection locked="0"/>
    </xf>
    <xf numFmtId="167" fontId="22" fillId="11" borderId="40" xfId="0" applyNumberFormat="1" applyFont="1" applyFill="1" applyBorder="1" applyAlignment="1" applyProtection="1">
      <alignment horizontal="right"/>
      <protection locked="0"/>
    </xf>
    <xf numFmtId="167" fontId="22" fillId="11" borderId="29" xfId="0" applyNumberFormat="1" applyFont="1" applyFill="1" applyBorder="1" applyAlignment="1" applyProtection="1">
      <alignment horizontal="right"/>
      <protection locked="0"/>
    </xf>
    <xf numFmtId="167" fontId="22" fillId="15" borderId="26" xfId="0" applyNumberFormat="1" applyFont="1" applyFill="1" applyBorder="1" applyAlignment="1" applyProtection="1">
      <alignment horizontal="right"/>
      <protection locked="0"/>
    </xf>
    <xf numFmtId="167" fontId="22" fillId="15" borderId="17" xfId="0" applyNumberFormat="1" applyFont="1" applyFill="1" applyBorder="1" applyAlignment="1" applyProtection="1">
      <alignment horizontal="right"/>
      <protection locked="0"/>
    </xf>
    <xf numFmtId="167" fontId="22" fillId="15" borderId="18" xfId="0" applyNumberFormat="1" applyFont="1" applyFill="1" applyBorder="1" applyAlignment="1" applyProtection="1">
      <alignment horizontal="right"/>
      <protection locked="0"/>
    </xf>
    <xf numFmtId="0" fontId="29" fillId="0" borderId="54" xfId="0" applyFont="1" applyBorder="1"/>
    <xf numFmtId="3" fontId="1" fillId="0" borderId="3" xfId="0" applyNumberFormat="1" applyFont="1" applyBorder="1" applyAlignment="1">
      <alignment horizontal="center"/>
    </xf>
    <xf numFmtId="3" fontId="1" fillId="0" borderId="0" xfId="0" applyNumberFormat="1" applyFont="1" applyBorder="1" applyAlignment="1">
      <alignment horizontal="center"/>
    </xf>
    <xf numFmtId="165" fontId="6" fillId="0" borderId="0" xfId="3" applyFont="1" applyBorder="1" applyAlignment="1">
      <alignment horizontal="center"/>
    </xf>
    <xf numFmtId="0" fontId="7" fillId="0" borderId="0" xfId="0" applyFont="1" applyAlignment="1">
      <alignment horizontal="center"/>
    </xf>
    <xf numFmtId="0" fontId="1" fillId="8" borderId="38" xfId="0" applyFont="1" applyFill="1" applyBorder="1" applyAlignment="1">
      <alignment horizontal="left"/>
    </xf>
    <xf numFmtId="0" fontId="1" fillId="8" borderId="39" xfId="0" applyFont="1" applyFill="1" applyBorder="1" applyAlignment="1">
      <alignment horizontal="left"/>
    </xf>
    <xf numFmtId="0" fontId="1" fillId="8" borderId="40" xfId="0" applyFont="1" applyFill="1" applyBorder="1" applyAlignment="1">
      <alignment horizontal="left"/>
    </xf>
    <xf numFmtId="0" fontId="1" fillId="8" borderId="45" xfId="0" applyFont="1" applyFill="1" applyBorder="1" applyAlignment="1">
      <alignment horizontal="left"/>
    </xf>
    <xf numFmtId="0" fontId="26" fillId="14" borderId="14" xfId="0" applyFont="1" applyFill="1" applyBorder="1" applyAlignment="1">
      <alignment horizontal="center"/>
    </xf>
    <xf numFmtId="0" fontId="1" fillId="0" borderId="14" xfId="0" applyFont="1" applyBorder="1" applyAlignment="1">
      <alignment horizontal="center"/>
    </xf>
    <xf numFmtId="167" fontId="1" fillId="0" borderId="5" xfId="0" applyNumberFormat="1" applyFont="1" applyBorder="1" applyAlignment="1">
      <alignment horizontal="right" vertical="center"/>
    </xf>
    <xf numFmtId="167" fontId="1" fillId="0" borderId="3" xfId="0" applyNumberFormat="1" applyFont="1" applyBorder="1" applyAlignment="1">
      <alignment horizontal="right" vertical="center"/>
    </xf>
    <xf numFmtId="164" fontId="4" fillId="19" borderId="27" xfId="0" applyNumberFormat="1" applyFont="1" applyFill="1" applyBorder="1" applyAlignment="1">
      <alignment horizontal="right"/>
    </xf>
    <xf numFmtId="0" fontId="30" fillId="0" borderId="0" xfId="0" applyFont="1" applyFill="1"/>
    <xf numFmtId="0" fontId="31" fillId="0" borderId="0" xfId="0" applyFont="1"/>
    <xf numFmtId="0" fontId="22" fillId="0" borderId="0" xfId="0" applyFont="1" applyBorder="1" applyAlignment="1">
      <alignment horizontal="left" indent="2"/>
    </xf>
    <xf numFmtId="10" fontId="24" fillId="0" borderId="45" xfId="0" applyNumberFormat="1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 vertical="center"/>
    </xf>
    <xf numFmtId="0" fontId="0" fillId="0" borderId="0" xfId="0" applyAlignment="1">
      <alignment vertical="center"/>
    </xf>
    <xf numFmtId="164" fontId="1" fillId="0" borderId="35" xfId="0" applyNumberFormat="1" applyFont="1" applyBorder="1" applyAlignment="1">
      <alignment horizontal="right"/>
    </xf>
    <xf numFmtId="164" fontId="1" fillId="0" borderId="36" xfId="0" applyNumberFormat="1" applyFont="1" applyBorder="1" applyAlignment="1">
      <alignment horizontal="right"/>
    </xf>
    <xf numFmtId="167" fontId="1" fillId="7" borderId="17" xfId="0" applyNumberFormat="1" applyFont="1" applyFill="1" applyBorder="1" applyAlignment="1">
      <alignment horizontal="right"/>
    </xf>
    <xf numFmtId="167" fontId="1" fillId="7" borderId="5" xfId="0" applyNumberFormat="1" applyFont="1" applyFill="1" applyBorder="1" applyAlignment="1">
      <alignment horizontal="right"/>
    </xf>
    <xf numFmtId="167" fontId="1" fillId="7" borderId="33" xfId="0" applyNumberFormat="1" applyFont="1" applyFill="1" applyBorder="1" applyAlignment="1">
      <alignment horizontal="right"/>
    </xf>
    <xf numFmtId="167" fontId="1" fillId="7" borderId="34" xfId="0" applyNumberFormat="1" applyFont="1" applyFill="1" applyBorder="1" applyAlignment="1">
      <alignment horizontal="right"/>
    </xf>
    <xf numFmtId="167" fontId="1" fillId="7" borderId="35" xfId="0" applyNumberFormat="1" applyFont="1" applyFill="1" applyBorder="1" applyAlignment="1">
      <alignment horizontal="right"/>
    </xf>
    <xf numFmtId="167" fontId="1" fillId="7" borderId="36" xfId="0" applyNumberFormat="1" applyFont="1" applyFill="1" applyBorder="1" applyAlignment="1">
      <alignment horizontal="right"/>
    </xf>
    <xf numFmtId="167" fontId="1" fillId="7" borderId="26" xfId="0" applyNumberFormat="1" applyFont="1" applyFill="1" applyBorder="1" applyAlignment="1">
      <alignment horizontal="right"/>
    </xf>
    <xf numFmtId="167" fontId="1" fillId="7" borderId="22" xfId="0" applyNumberFormat="1" applyFont="1" applyFill="1" applyBorder="1" applyAlignment="1">
      <alignment horizontal="right"/>
    </xf>
    <xf numFmtId="167" fontId="1" fillId="7" borderId="32" xfId="0" applyNumberFormat="1" applyFont="1" applyFill="1" applyBorder="1" applyAlignment="1">
      <alignment horizontal="right"/>
    </xf>
    <xf numFmtId="0" fontId="1" fillId="8" borderId="16" xfId="0" applyFont="1" applyFill="1" applyBorder="1" applyAlignment="1">
      <alignment horizontal="center"/>
    </xf>
    <xf numFmtId="0" fontId="22" fillId="0" borderId="26" xfId="0" applyFont="1" applyBorder="1" applyAlignment="1">
      <alignment horizontal="left" indent="1"/>
    </xf>
    <xf numFmtId="0" fontId="22" fillId="0" borderId="17" xfId="0" applyFont="1" applyBorder="1" applyAlignment="1">
      <alignment horizontal="left" indent="1"/>
    </xf>
    <xf numFmtId="0" fontId="22" fillId="0" borderId="18" xfId="0" applyFont="1" applyBorder="1" applyAlignment="1">
      <alignment horizontal="left" indent="1"/>
    </xf>
    <xf numFmtId="0" fontId="1" fillId="0" borderId="45" xfId="0" applyFont="1" applyBorder="1" applyAlignment="1">
      <alignment horizontal="left" indent="1"/>
    </xf>
    <xf numFmtId="0" fontId="33" fillId="0" borderId="20" xfId="0" applyFont="1" applyBorder="1" applyAlignment="1">
      <alignment vertical="center" wrapText="1"/>
    </xf>
    <xf numFmtId="0" fontId="29" fillId="0" borderId="10" xfId="0" applyFont="1" applyBorder="1" applyAlignment="1">
      <alignment horizontal="center" vertical="center"/>
    </xf>
    <xf numFmtId="165" fontId="34" fillId="0" borderId="10" xfId="3" applyFont="1" applyBorder="1" applyAlignment="1">
      <alignment horizontal="center"/>
    </xf>
    <xf numFmtId="0" fontId="2" fillId="2" borderId="60" xfId="0" applyFont="1" applyFill="1" applyBorder="1" applyAlignment="1">
      <alignment horizontal="left" vertical="top"/>
    </xf>
    <xf numFmtId="0" fontId="12" fillId="2" borderId="58" xfId="0" applyFont="1" applyFill="1" applyBorder="1" applyAlignment="1">
      <alignment horizontal="center" vertical="top"/>
    </xf>
    <xf numFmtId="167" fontId="2" fillId="3" borderId="58" xfId="0" applyNumberFormat="1" applyFont="1" applyFill="1" applyBorder="1" applyAlignment="1">
      <alignment horizontal="right" vertical="top"/>
    </xf>
    <xf numFmtId="167" fontId="2" fillId="3" borderId="55" xfId="0" applyNumberFormat="1" applyFont="1" applyFill="1" applyBorder="1" applyAlignment="1">
      <alignment horizontal="right" vertical="top"/>
    </xf>
    <xf numFmtId="0" fontId="2" fillId="2" borderId="39" xfId="0" applyFont="1" applyFill="1" applyBorder="1" applyAlignment="1">
      <alignment horizontal="left" vertical="center"/>
    </xf>
    <xf numFmtId="165" fontId="33" fillId="0" borderId="37" xfId="3" applyFont="1" applyBorder="1" applyAlignment="1">
      <alignment horizontal="center" vertical="top" wrapText="1"/>
    </xf>
    <xf numFmtId="165" fontId="33" fillId="0" borderId="11" xfId="3" applyFont="1" applyBorder="1" applyAlignment="1">
      <alignment horizontal="center" vertical="top" wrapText="1"/>
    </xf>
    <xf numFmtId="165" fontId="33" fillId="0" borderId="9" xfId="3" applyFont="1" applyBorder="1" applyAlignment="1">
      <alignment horizontal="center" vertical="top" wrapText="1"/>
    </xf>
    <xf numFmtId="165" fontId="33" fillId="0" borderId="12" xfId="3" applyFont="1" applyBorder="1" applyAlignment="1">
      <alignment horizontal="center" vertical="top" wrapText="1"/>
    </xf>
    <xf numFmtId="165" fontId="33" fillId="0" borderId="10" xfId="3" applyFont="1" applyBorder="1" applyAlignment="1">
      <alignment horizontal="center" vertical="top" wrapText="1"/>
    </xf>
    <xf numFmtId="165" fontId="33" fillId="0" borderId="9" xfId="3" applyFont="1" applyBorder="1" applyAlignment="1">
      <alignment horizontal="center" vertical="center" wrapText="1"/>
    </xf>
    <xf numFmtId="165" fontId="33" fillId="0" borderId="10" xfId="3" applyFont="1" applyBorder="1" applyAlignment="1">
      <alignment horizontal="center" vertical="center" wrapText="1"/>
    </xf>
    <xf numFmtId="165" fontId="33" fillId="0" borderId="12" xfId="3" applyFont="1" applyBorder="1" applyAlignment="1">
      <alignment horizontal="center" vertical="center" wrapText="1"/>
    </xf>
    <xf numFmtId="165" fontId="33" fillId="0" borderId="11" xfId="3" applyFont="1" applyBorder="1" applyAlignment="1">
      <alignment horizontal="center" vertical="center" wrapText="1"/>
    </xf>
    <xf numFmtId="165" fontId="33" fillId="0" borderId="37" xfId="3" applyFont="1" applyBorder="1" applyAlignment="1">
      <alignment horizontal="center" vertical="center" wrapText="1"/>
    </xf>
    <xf numFmtId="0" fontId="22" fillId="8" borderId="38" xfId="0" applyFont="1" applyFill="1" applyBorder="1" applyAlignment="1">
      <alignment vertical="center"/>
    </xf>
    <xf numFmtId="0" fontId="22" fillId="8" borderId="29" xfId="0" applyFont="1" applyFill="1" applyBorder="1" applyAlignment="1">
      <alignment horizontal="center" vertical="center"/>
    </xf>
    <xf numFmtId="0" fontId="22" fillId="8" borderId="39" xfId="0" applyFont="1" applyFill="1" applyBorder="1" applyAlignment="1">
      <alignment vertical="center"/>
    </xf>
    <xf numFmtId="0" fontId="22" fillId="8" borderId="4" xfId="0" applyFont="1" applyFill="1" applyBorder="1" applyAlignment="1">
      <alignment horizontal="center" vertical="center"/>
    </xf>
    <xf numFmtId="0" fontId="22" fillId="6" borderId="40" xfId="0" applyFont="1" applyFill="1" applyBorder="1" applyAlignment="1">
      <alignment vertical="center"/>
    </xf>
    <xf numFmtId="0" fontId="22" fillId="6" borderId="23" xfId="0" applyFont="1" applyFill="1" applyBorder="1" applyAlignment="1">
      <alignment horizontal="center" vertical="center"/>
    </xf>
    <xf numFmtId="167" fontId="22" fillId="10" borderId="17" xfId="0" applyNumberFormat="1" applyFont="1" applyFill="1" applyBorder="1" applyAlignment="1" applyProtection="1">
      <alignment horizontal="right" vertical="center"/>
      <protection hidden="1"/>
    </xf>
    <xf numFmtId="167" fontId="22" fillId="10" borderId="3" xfId="0" applyNumberFormat="1" applyFont="1" applyFill="1" applyBorder="1" applyAlignment="1" applyProtection="1">
      <alignment horizontal="right" vertical="center"/>
      <protection hidden="1"/>
    </xf>
    <xf numFmtId="167" fontId="22" fillId="10" borderId="14" xfId="0" applyNumberFormat="1" applyFont="1" applyFill="1" applyBorder="1" applyAlignment="1" applyProtection="1">
      <alignment horizontal="right" vertical="center"/>
      <protection hidden="1"/>
    </xf>
    <xf numFmtId="164" fontId="22" fillId="16" borderId="17" xfId="0" applyNumberFormat="1" applyFont="1" applyFill="1" applyBorder="1" applyAlignment="1">
      <alignment horizontal="right" vertical="center"/>
    </xf>
    <xf numFmtId="164" fontId="22" fillId="16" borderId="3" xfId="0" applyNumberFormat="1" applyFont="1" applyFill="1" applyBorder="1" applyAlignment="1">
      <alignment horizontal="right" vertical="center"/>
    </xf>
    <xf numFmtId="164" fontId="22" fillId="16" borderId="14" xfId="0" applyNumberFormat="1" applyFont="1" applyFill="1" applyBorder="1" applyAlignment="1">
      <alignment horizontal="right" vertical="center"/>
    </xf>
    <xf numFmtId="0" fontId="22" fillId="6" borderId="18" xfId="0" applyFont="1" applyFill="1" applyBorder="1" applyAlignment="1">
      <alignment vertical="center"/>
    </xf>
    <xf numFmtId="0" fontId="22" fillId="6" borderId="15" xfId="0" applyFont="1" applyFill="1" applyBorder="1" applyAlignment="1">
      <alignment vertical="center"/>
    </xf>
    <xf numFmtId="0" fontId="22" fillId="6" borderId="16" xfId="0" applyFont="1" applyFill="1" applyBorder="1" applyAlignment="1">
      <alignment vertical="center"/>
    </xf>
    <xf numFmtId="164" fontId="2" fillId="18" borderId="7" xfId="0" applyNumberFormat="1" applyFont="1" applyFill="1" applyBorder="1" applyAlignment="1">
      <alignment horizontal="right" vertical="center"/>
    </xf>
    <xf numFmtId="164" fontId="2" fillId="3" borderId="7" xfId="0" applyNumberFormat="1" applyFont="1" applyFill="1" applyBorder="1" applyAlignment="1">
      <alignment horizontal="right" vertical="center"/>
    </xf>
    <xf numFmtId="164" fontId="2" fillId="18" borderId="8" xfId="0" applyNumberFormat="1" applyFont="1" applyFill="1" applyBorder="1" applyAlignment="1">
      <alignment horizontal="right" vertical="center"/>
    </xf>
    <xf numFmtId="164" fontId="2" fillId="3" borderId="19" xfId="0" applyNumberFormat="1" applyFont="1" applyFill="1" applyBorder="1" applyAlignment="1">
      <alignment horizontal="right" vertical="center"/>
    </xf>
    <xf numFmtId="164" fontId="2" fillId="6" borderId="7" xfId="0" applyNumberFormat="1" applyFont="1" applyFill="1" applyBorder="1" applyAlignment="1">
      <alignment horizontal="right" vertical="center"/>
    </xf>
    <xf numFmtId="164" fontId="1" fillId="0" borderId="5" xfId="0" applyNumberFormat="1" applyFont="1" applyBorder="1" applyAlignment="1">
      <alignment horizontal="right" vertical="center"/>
    </xf>
    <xf numFmtId="164" fontId="1" fillId="0" borderId="3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right" vertical="center"/>
    </xf>
    <xf numFmtId="164" fontId="1" fillId="8" borderId="7" xfId="0" applyNumberFormat="1" applyFont="1" applyFill="1" applyBorder="1" applyAlignment="1">
      <alignment horizontal="right" vertical="center"/>
    </xf>
    <xf numFmtId="164" fontId="22" fillId="11" borderId="5" xfId="0" applyNumberFormat="1" applyFont="1" applyFill="1" applyBorder="1" applyAlignment="1" applyProtection="1">
      <alignment horizontal="right" vertical="center"/>
      <protection locked="0"/>
    </xf>
    <xf numFmtId="164" fontId="22" fillId="11" borderId="46" xfId="0" applyNumberFormat="1" applyFont="1" applyFill="1" applyBorder="1" applyAlignment="1" applyProtection="1">
      <alignment horizontal="right" vertical="center"/>
      <protection locked="0"/>
    </xf>
    <xf numFmtId="164" fontId="1" fillId="0" borderId="7" xfId="0" applyNumberFormat="1" applyFont="1" applyBorder="1" applyAlignment="1">
      <alignment horizontal="right" vertical="center"/>
    </xf>
    <xf numFmtId="164" fontId="1" fillId="0" borderId="46" xfId="0" applyNumberFormat="1" applyFont="1" applyBorder="1" applyAlignment="1">
      <alignment horizontal="right" vertical="center"/>
    </xf>
    <xf numFmtId="164" fontId="22" fillId="11" borderId="3" xfId="0" applyNumberFormat="1" applyFont="1" applyFill="1" applyBorder="1" applyAlignment="1" applyProtection="1">
      <alignment horizontal="right" vertical="center"/>
      <protection locked="0"/>
    </xf>
    <xf numFmtId="164" fontId="22" fillId="11" borderId="4" xfId="0" applyNumberFormat="1" applyFont="1" applyFill="1" applyBorder="1" applyAlignment="1" applyProtection="1">
      <alignment horizontal="right" vertical="center"/>
      <protection locked="0"/>
    </xf>
    <xf numFmtId="164" fontId="4" fillId="0" borderId="7" xfId="0" applyNumberFormat="1" applyFont="1" applyBorder="1" applyAlignment="1">
      <alignment horizontal="right" vertical="center"/>
    </xf>
    <xf numFmtId="164" fontId="20" fillId="4" borderId="5" xfId="0" applyNumberFormat="1" applyFont="1" applyFill="1" applyBorder="1" applyAlignment="1">
      <alignment horizontal="right" vertical="center"/>
    </xf>
    <xf numFmtId="164" fontId="26" fillId="8" borderId="7" xfId="0" applyNumberFormat="1" applyFont="1" applyFill="1" applyBorder="1" applyAlignment="1">
      <alignment horizontal="right" vertical="center"/>
    </xf>
    <xf numFmtId="167" fontId="22" fillId="11" borderId="59" xfId="0" applyNumberFormat="1" applyFont="1" applyFill="1" applyBorder="1" applyAlignment="1" applyProtection="1">
      <alignment horizontal="right"/>
      <protection locked="0"/>
    </xf>
    <xf numFmtId="0" fontId="26" fillId="0" borderId="39" xfId="0" applyFont="1" applyFill="1" applyBorder="1" applyAlignment="1">
      <alignment horizontal="left" vertical="center" indent="3"/>
    </xf>
    <xf numFmtId="0" fontId="1" fillId="0" borderId="39" xfId="0" applyFont="1" applyFill="1" applyBorder="1" applyAlignment="1">
      <alignment horizontal="left" vertical="center" indent="2"/>
    </xf>
    <xf numFmtId="0" fontId="1" fillId="0" borderId="39" xfId="0" applyFont="1" applyFill="1" applyBorder="1" applyAlignment="1">
      <alignment horizontal="left" vertical="center" wrapText="1" indent="2"/>
    </xf>
    <xf numFmtId="164" fontId="26" fillId="20" borderId="7" xfId="0" applyNumberFormat="1" applyFont="1" applyFill="1" applyBorder="1" applyAlignment="1" applyProtection="1">
      <alignment horizontal="right" vertical="center"/>
      <protection locked="0"/>
    </xf>
    <xf numFmtId="0" fontId="4" fillId="0" borderId="0" xfId="0" applyNumberFormat="1" applyFont="1" applyFill="1" applyBorder="1" applyAlignment="1">
      <alignment horizontal="right" wrapText="1"/>
    </xf>
    <xf numFmtId="0" fontId="0" fillId="0" borderId="0" xfId="0" applyNumberFormat="1" applyBorder="1"/>
    <xf numFmtId="164" fontId="4" fillId="19" borderId="22" xfId="0" applyNumberFormat="1" applyFont="1" applyFill="1" applyBorder="1" applyAlignment="1">
      <alignment horizontal="right"/>
    </xf>
    <xf numFmtId="0" fontId="4" fillId="0" borderId="19" xfId="0" applyNumberFormat="1" applyFont="1" applyBorder="1" applyAlignment="1">
      <alignment horizontal="left" vertical="center" wrapText="1"/>
    </xf>
    <xf numFmtId="0" fontId="4" fillId="0" borderId="7" xfId="0" applyNumberFormat="1" applyFont="1" applyBorder="1" applyAlignment="1">
      <alignment horizontal="left" vertical="center" wrapText="1"/>
    </xf>
    <xf numFmtId="0" fontId="4" fillId="0" borderId="62" xfId="0" applyNumberFormat="1" applyFont="1" applyBorder="1" applyAlignment="1">
      <alignment horizontal="left" vertical="center" wrapText="1"/>
    </xf>
    <xf numFmtId="164" fontId="4" fillId="19" borderId="1" xfId="0" applyNumberFormat="1" applyFont="1" applyFill="1" applyBorder="1" applyAlignment="1">
      <alignment horizontal="right"/>
    </xf>
    <xf numFmtId="164" fontId="4" fillId="19" borderId="63" xfId="0" applyNumberFormat="1" applyFont="1" applyFill="1" applyBorder="1" applyAlignment="1">
      <alignment horizontal="right"/>
    </xf>
    <xf numFmtId="164" fontId="12" fillId="0" borderId="62" xfId="0" applyNumberFormat="1" applyFont="1" applyBorder="1" applyAlignment="1">
      <alignment horizontal="right"/>
    </xf>
    <xf numFmtId="0" fontId="4" fillId="0" borderId="37" xfId="0" applyNumberFormat="1" applyFont="1" applyBorder="1" applyAlignment="1">
      <alignment horizontal="left" vertical="center" wrapText="1"/>
    </xf>
    <xf numFmtId="169" fontId="12" fillId="0" borderId="11" xfId="0" applyNumberFormat="1" applyFont="1" applyBorder="1" applyAlignment="1">
      <alignment horizontal="right"/>
    </xf>
    <xf numFmtId="169" fontId="12" fillId="0" borderId="9" xfId="0" applyNumberFormat="1" applyFont="1" applyBorder="1" applyAlignment="1">
      <alignment horizontal="right"/>
    </xf>
    <xf numFmtId="169" fontId="12" fillId="0" borderId="12" xfId="0" applyNumberFormat="1" applyFont="1" applyBorder="1" applyAlignment="1">
      <alignment horizontal="right"/>
    </xf>
    <xf numFmtId="169" fontId="12" fillId="0" borderId="37" xfId="0" applyNumberFormat="1" applyFont="1" applyBorder="1" applyAlignment="1">
      <alignment horizontal="right"/>
    </xf>
    <xf numFmtId="0" fontId="1" fillId="3" borderId="38" xfId="0" applyFont="1" applyFill="1" applyBorder="1" applyAlignment="1">
      <alignment horizontal="left" vertical="center" indent="1"/>
    </xf>
    <xf numFmtId="0" fontId="1" fillId="3" borderId="39" xfId="0" applyFont="1" applyFill="1" applyBorder="1" applyAlignment="1">
      <alignment horizontal="left" vertical="center" indent="1"/>
    </xf>
    <xf numFmtId="0" fontId="1" fillId="18" borderId="39" xfId="0" applyFont="1" applyFill="1" applyBorder="1" applyAlignment="1">
      <alignment horizontal="left" vertical="center"/>
    </xf>
    <xf numFmtId="164" fontId="1" fillId="3" borderId="39" xfId="0" applyNumberFormat="1" applyFont="1" applyFill="1" applyBorder="1" applyAlignment="1">
      <alignment horizontal="left" vertical="center" indent="1"/>
    </xf>
    <xf numFmtId="0" fontId="1" fillId="18" borderId="40" xfId="0" applyFont="1" applyFill="1" applyBorder="1" applyAlignment="1">
      <alignment horizontal="left" vertical="center"/>
    </xf>
    <xf numFmtId="0" fontId="1" fillId="2" borderId="28" xfId="0" applyFont="1" applyFill="1" applyBorder="1" applyAlignment="1">
      <alignment horizontal="center"/>
    </xf>
    <xf numFmtId="164" fontId="1" fillId="3" borderId="22" xfId="0" applyNumberFormat="1" applyFont="1" applyFill="1" applyBorder="1" applyAlignment="1">
      <alignment horizontal="right" vertical="center"/>
    </xf>
    <xf numFmtId="164" fontId="1" fillId="3" borderId="27" xfId="0" applyNumberFormat="1" applyFont="1" applyFill="1" applyBorder="1" applyAlignment="1">
      <alignment horizontal="right" vertical="center"/>
    </xf>
    <xf numFmtId="164" fontId="1" fillId="3" borderId="29" xfId="0" applyNumberFormat="1" applyFont="1" applyFill="1" applyBorder="1" applyAlignment="1">
      <alignment horizontal="right" vertical="center"/>
    </xf>
    <xf numFmtId="0" fontId="1" fillId="2" borderId="14" xfId="0" applyFont="1" applyFill="1" applyBorder="1" applyAlignment="1">
      <alignment horizontal="center"/>
    </xf>
    <xf numFmtId="164" fontId="1" fillId="6" borderId="5" xfId="0" applyNumberFormat="1" applyFont="1" applyFill="1" applyBorder="1" applyAlignment="1">
      <alignment horizontal="right" vertical="center"/>
    </xf>
    <xf numFmtId="164" fontId="1" fillId="3" borderId="5" xfId="0" applyNumberFormat="1" applyFont="1" applyFill="1" applyBorder="1" applyAlignment="1">
      <alignment horizontal="right" vertical="center"/>
    </xf>
    <xf numFmtId="164" fontId="1" fillId="6" borderId="46" xfId="0" applyNumberFormat="1" applyFont="1" applyFill="1" applyBorder="1" applyAlignment="1">
      <alignment horizontal="right" vertical="center"/>
    </xf>
    <xf numFmtId="164" fontId="5" fillId="4" borderId="5" xfId="0" applyNumberFormat="1" applyFont="1" applyFill="1" applyBorder="1" applyAlignment="1">
      <alignment horizontal="right" vertical="center"/>
    </xf>
    <xf numFmtId="164" fontId="1" fillId="3" borderId="3" xfId="0" applyNumberFormat="1" applyFont="1" applyFill="1" applyBorder="1" applyAlignment="1">
      <alignment horizontal="right" vertical="center"/>
    </xf>
    <xf numFmtId="164" fontId="1" fillId="6" borderId="4" xfId="0" applyNumberFormat="1" applyFont="1" applyFill="1" applyBorder="1" applyAlignment="1">
      <alignment horizontal="right" vertical="center"/>
    </xf>
    <xf numFmtId="164" fontId="1" fillId="18" borderId="14" xfId="0" applyNumberFormat="1" applyFont="1" applyFill="1" applyBorder="1" applyAlignment="1">
      <alignment horizontal="center"/>
    </xf>
    <xf numFmtId="164" fontId="1" fillId="18" borderId="5" xfId="0" applyNumberFormat="1" applyFont="1" applyFill="1" applyBorder="1" applyAlignment="1">
      <alignment horizontal="right" vertical="center"/>
    </xf>
    <xf numFmtId="164" fontId="1" fillId="18" borderId="46" xfId="0" applyNumberFormat="1" applyFont="1" applyFill="1" applyBorder="1" applyAlignment="1">
      <alignment horizontal="right" vertical="center"/>
    </xf>
    <xf numFmtId="164" fontId="1" fillId="3" borderId="14" xfId="0" applyNumberFormat="1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right" vertical="center"/>
    </xf>
    <xf numFmtId="0" fontId="1" fillId="3" borderId="14" xfId="0" applyFont="1" applyFill="1" applyBorder="1" applyAlignment="1">
      <alignment horizontal="center"/>
    </xf>
    <xf numFmtId="164" fontId="1" fillId="3" borderId="46" xfId="0" applyNumberFormat="1" applyFont="1" applyFill="1" applyBorder="1" applyAlignment="1">
      <alignment horizontal="right" vertical="center"/>
    </xf>
    <xf numFmtId="0" fontId="1" fillId="6" borderId="14" xfId="0" applyFont="1" applyFill="1" applyBorder="1" applyAlignment="1">
      <alignment horizontal="center"/>
    </xf>
    <xf numFmtId="164" fontId="1" fillId="18" borderId="16" xfId="0" applyNumberFormat="1" applyFont="1" applyFill="1" applyBorder="1" applyAlignment="1">
      <alignment horizontal="center"/>
    </xf>
    <xf numFmtId="164" fontId="1" fillId="18" borderId="6" xfId="0" applyNumberFormat="1" applyFont="1" applyFill="1" applyBorder="1" applyAlignment="1">
      <alignment horizontal="right" vertical="center"/>
    </xf>
    <xf numFmtId="164" fontId="1" fillId="18" borderId="50" xfId="0" applyNumberFormat="1" applyFont="1" applyFill="1" applyBorder="1" applyAlignment="1">
      <alignment horizontal="right" vertical="center"/>
    </xf>
    <xf numFmtId="164" fontId="1" fillId="6" borderId="3" xfId="0" applyNumberFormat="1" applyFont="1" applyFill="1" applyBorder="1" applyAlignment="1">
      <alignment horizontal="right" vertical="center"/>
    </xf>
    <xf numFmtId="0" fontId="12" fillId="2" borderId="46" xfId="0" applyFont="1" applyFill="1" applyBorder="1" applyAlignment="1">
      <alignment horizontal="center" vertical="center"/>
    </xf>
    <xf numFmtId="0" fontId="35" fillId="0" borderId="0" xfId="0" applyNumberFormat="1" applyFont="1" applyBorder="1" applyAlignment="1">
      <alignment horizontal="center" vertical="center" wrapText="1"/>
    </xf>
    <xf numFmtId="0" fontId="1" fillId="0" borderId="39" xfId="0" applyFont="1" applyBorder="1" applyAlignment="1">
      <alignment horizontal="left" vertical="center" indent="1"/>
    </xf>
    <xf numFmtId="0" fontId="2" fillId="3" borderId="39" xfId="0" applyFont="1" applyFill="1" applyBorder="1" applyAlignment="1">
      <alignment horizontal="left" vertical="center" wrapText="1"/>
    </xf>
    <xf numFmtId="0" fontId="1" fillId="0" borderId="39" xfId="0" applyFont="1" applyBorder="1" applyAlignment="1">
      <alignment horizontal="left" vertical="center" wrapText="1" indent="1"/>
    </xf>
    <xf numFmtId="0" fontId="1" fillId="0" borderId="39" xfId="0" applyFont="1" applyBorder="1" applyAlignment="1">
      <alignment horizontal="left" vertical="center" indent="2"/>
    </xf>
    <xf numFmtId="0" fontId="1" fillId="0" borderId="40" xfId="0" applyFont="1" applyBorder="1" applyAlignment="1">
      <alignment horizontal="left" vertical="center" indent="1"/>
    </xf>
    <xf numFmtId="0" fontId="1" fillId="0" borderId="4" xfId="0" applyFont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167" fontId="1" fillId="0" borderId="17" xfId="0" applyNumberFormat="1" applyFont="1" applyBorder="1" applyAlignment="1">
      <alignment horizontal="right" vertical="center"/>
    </xf>
    <xf numFmtId="167" fontId="1" fillId="0" borderId="14" xfId="0" applyNumberFormat="1" applyFont="1" applyBorder="1" applyAlignment="1">
      <alignment horizontal="right" vertical="center"/>
    </xf>
    <xf numFmtId="164" fontId="2" fillId="2" borderId="17" xfId="0" applyNumberFormat="1" applyFont="1" applyFill="1" applyBorder="1" applyAlignment="1">
      <alignment horizontal="right" vertical="center"/>
    </xf>
    <xf numFmtId="164" fontId="2" fillId="2" borderId="3" xfId="0" applyNumberFormat="1" applyFont="1" applyFill="1" applyBorder="1" applyAlignment="1">
      <alignment horizontal="right" vertical="center"/>
    </xf>
    <xf numFmtId="164" fontId="2" fillId="2" borderId="14" xfId="0" applyNumberFormat="1" applyFont="1" applyFill="1" applyBorder="1" applyAlignment="1">
      <alignment horizontal="right" vertical="center"/>
    </xf>
    <xf numFmtId="164" fontId="2" fillId="2" borderId="5" xfId="0" applyNumberFormat="1" applyFont="1" applyFill="1" applyBorder="1" applyAlignment="1">
      <alignment horizontal="right" vertical="center"/>
    </xf>
    <xf numFmtId="164" fontId="2" fillId="2" borderId="46" xfId="0" applyNumberFormat="1" applyFont="1" applyFill="1" applyBorder="1" applyAlignment="1">
      <alignment horizontal="right" vertical="center"/>
    </xf>
    <xf numFmtId="164" fontId="2" fillId="2" borderId="33" xfId="0" applyNumberFormat="1" applyFont="1" applyFill="1" applyBorder="1" applyAlignment="1">
      <alignment horizontal="right" vertical="center"/>
    </xf>
    <xf numFmtId="167" fontId="1" fillId="8" borderId="17" xfId="0" applyNumberFormat="1" applyFont="1" applyFill="1" applyBorder="1" applyAlignment="1">
      <alignment horizontal="right" vertical="center"/>
    </xf>
    <xf numFmtId="167" fontId="2" fillId="3" borderId="46" xfId="0" applyNumberFormat="1" applyFont="1" applyFill="1" applyBorder="1" applyAlignment="1">
      <alignment horizontal="right" vertical="center"/>
    </xf>
    <xf numFmtId="167" fontId="2" fillId="3" borderId="33" xfId="0" applyNumberFormat="1" applyFont="1" applyFill="1" applyBorder="1" applyAlignment="1">
      <alignment horizontal="right" vertical="center"/>
    </xf>
    <xf numFmtId="167" fontId="4" fillId="0" borderId="17" xfId="0" applyNumberFormat="1" applyFont="1" applyBorder="1" applyAlignment="1">
      <alignment horizontal="right" vertical="center"/>
    </xf>
    <xf numFmtId="167" fontId="4" fillId="0" borderId="3" xfId="0" applyNumberFormat="1" applyFont="1" applyBorder="1" applyAlignment="1">
      <alignment horizontal="right" vertical="center"/>
    </xf>
    <xf numFmtId="167" fontId="4" fillId="0" borderId="14" xfId="0" applyNumberFormat="1" applyFont="1" applyBorder="1" applyAlignment="1">
      <alignment horizontal="right" vertical="center"/>
    </xf>
    <xf numFmtId="167" fontId="4" fillId="0" borderId="5" xfId="0" applyNumberFormat="1" applyFont="1" applyBorder="1" applyAlignment="1">
      <alignment horizontal="right" vertical="center"/>
    </xf>
    <xf numFmtId="167" fontId="1" fillId="0" borderId="18" xfId="0" applyNumberFormat="1" applyFont="1" applyBorder="1" applyAlignment="1">
      <alignment horizontal="right" vertical="center"/>
    </xf>
    <xf numFmtId="167" fontId="1" fillId="0" borderId="15" xfId="0" applyNumberFormat="1" applyFont="1" applyBorder="1" applyAlignment="1">
      <alignment horizontal="right" vertical="center"/>
    </xf>
    <xf numFmtId="167" fontId="1" fillId="0" borderId="16" xfId="0" applyNumberFormat="1" applyFont="1" applyBorder="1" applyAlignment="1">
      <alignment horizontal="right" vertical="center"/>
    </xf>
    <xf numFmtId="167" fontId="1" fillId="0" borderId="6" xfId="0" applyNumberFormat="1" applyFont="1" applyBorder="1" applyAlignment="1">
      <alignment horizontal="right" vertical="center"/>
    </xf>
    <xf numFmtId="0" fontId="33" fillId="0" borderId="0" xfId="0" applyFont="1" applyFill="1" applyBorder="1" applyAlignment="1"/>
    <xf numFmtId="0" fontId="34" fillId="0" borderId="0" xfId="0" applyFont="1" applyAlignment="1">
      <alignment horizontal="center" vertical="center"/>
    </xf>
    <xf numFmtId="0" fontId="34" fillId="0" borderId="0" xfId="0" applyFont="1"/>
    <xf numFmtId="0" fontId="34" fillId="0" borderId="0" xfId="0" applyFont="1" applyFill="1" applyBorder="1"/>
    <xf numFmtId="0" fontId="34" fillId="0" borderId="0" xfId="0" applyFont="1" applyFill="1"/>
    <xf numFmtId="0" fontId="34" fillId="0" borderId="0" xfId="0" applyFont="1" applyAlignment="1">
      <alignment horizontal="center"/>
    </xf>
    <xf numFmtId="167" fontId="29" fillId="0" borderId="0" xfId="3" applyNumberFormat="1" applyFont="1" applyAlignment="1">
      <alignment horizontal="right" vertical="center"/>
    </xf>
    <xf numFmtId="167" fontId="33" fillId="0" borderId="0" xfId="3" applyNumberFormat="1" applyFont="1" applyAlignment="1">
      <alignment horizontal="right" vertical="center"/>
    </xf>
    <xf numFmtId="0" fontId="34" fillId="0" borderId="0" xfId="0" applyFont="1" applyAlignment="1"/>
    <xf numFmtId="0" fontId="29" fillId="0" borderId="0" xfId="0" applyFont="1" applyAlignment="1">
      <alignment horizontal="right"/>
    </xf>
    <xf numFmtId="0" fontId="33" fillId="0" borderId="0" xfId="0" applyFont="1" applyAlignment="1">
      <alignment horizontal="right"/>
    </xf>
    <xf numFmtId="0" fontId="28" fillId="0" borderId="34" xfId="0" applyFont="1" applyBorder="1" applyAlignment="1">
      <alignment horizontal="left"/>
    </xf>
    <xf numFmtId="0" fontId="28" fillId="0" borderId="58" xfId="0" applyFont="1" applyBorder="1" applyAlignment="1">
      <alignment horizontal="center"/>
    </xf>
    <xf numFmtId="167" fontId="28" fillId="0" borderId="60" xfId="0" applyNumberFormat="1" applyFont="1" applyBorder="1"/>
    <xf numFmtId="167" fontId="28" fillId="0" borderId="35" xfId="0" applyNumberFormat="1" applyFont="1" applyBorder="1"/>
    <xf numFmtId="167" fontId="28" fillId="0" borderId="52" xfId="0" applyNumberFormat="1" applyFont="1" applyBorder="1"/>
    <xf numFmtId="167" fontId="28" fillId="0" borderId="34" xfId="0" applyNumberFormat="1" applyFont="1" applyBorder="1"/>
    <xf numFmtId="167" fontId="28" fillId="0" borderId="36" xfId="0" applyNumberFormat="1" applyFont="1" applyBorder="1"/>
    <xf numFmtId="167" fontId="22" fillId="0" borderId="0" xfId="0" applyNumberFormat="1" applyFont="1"/>
    <xf numFmtId="167" fontId="1" fillId="8" borderId="25" xfId="0" applyNumberFormat="1" applyFont="1" applyFill="1" applyBorder="1" applyAlignment="1">
      <alignment horizontal="right"/>
    </xf>
    <xf numFmtId="167" fontId="1" fillId="8" borderId="41" xfId="0" applyNumberFormat="1" applyFont="1" applyFill="1" applyBorder="1" applyAlignment="1">
      <alignment horizontal="right"/>
    </xf>
    <xf numFmtId="167" fontId="1" fillId="8" borderId="42" xfId="0" applyNumberFormat="1" applyFont="1" applyFill="1" applyBorder="1" applyAlignment="1">
      <alignment horizontal="right"/>
    </xf>
    <xf numFmtId="0" fontId="33" fillId="0" borderId="54" xfId="0" applyFont="1" applyBorder="1"/>
    <xf numFmtId="167" fontId="22" fillId="11" borderId="25" xfId="0" applyNumberFormat="1" applyFont="1" applyFill="1" applyBorder="1" applyAlignment="1" applyProtection="1">
      <alignment horizontal="right"/>
      <protection locked="0"/>
    </xf>
    <xf numFmtId="167" fontId="22" fillId="10" borderId="26" xfId="0" applyNumberFormat="1" applyFont="1" applyFill="1" applyBorder="1" applyAlignment="1" applyProtection="1">
      <alignment horizontal="right" vertical="center"/>
      <protection hidden="1"/>
    </xf>
    <xf numFmtId="167" fontId="22" fillId="10" borderId="27" xfId="0" applyNumberFormat="1" applyFont="1" applyFill="1" applyBorder="1" applyAlignment="1" applyProtection="1">
      <alignment horizontal="right" vertical="center"/>
      <protection hidden="1"/>
    </xf>
    <xf numFmtId="167" fontId="22" fillId="10" borderId="28" xfId="0" applyNumberFormat="1" applyFont="1" applyFill="1" applyBorder="1" applyAlignment="1" applyProtection="1">
      <alignment horizontal="right" vertical="center"/>
      <protection hidden="1"/>
    </xf>
    <xf numFmtId="164" fontId="22" fillId="16" borderId="26" xfId="0" applyNumberFormat="1" applyFont="1" applyFill="1" applyBorder="1" applyAlignment="1">
      <alignment horizontal="right" vertical="center"/>
    </xf>
    <xf numFmtId="164" fontId="22" fillId="16" borderId="27" xfId="0" applyNumberFormat="1" applyFont="1" applyFill="1" applyBorder="1" applyAlignment="1">
      <alignment horizontal="right" vertical="center"/>
    </xf>
    <xf numFmtId="164" fontId="22" fillId="16" borderId="28" xfId="0" applyNumberFormat="1" applyFont="1" applyFill="1" applyBorder="1" applyAlignment="1">
      <alignment horizontal="right" vertical="center"/>
    </xf>
    <xf numFmtId="0" fontId="22" fillId="0" borderId="45" xfId="0" applyFont="1" applyBorder="1" applyAlignment="1">
      <alignment horizontal="left" vertical="center"/>
    </xf>
    <xf numFmtId="0" fontId="22" fillId="0" borderId="44" xfId="0" applyFont="1" applyBorder="1" applyAlignment="1">
      <alignment horizontal="center" vertical="center"/>
    </xf>
    <xf numFmtId="164" fontId="22" fillId="0" borderId="25" xfId="0" applyNumberFormat="1" applyFont="1" applyBorder="1" applyAlignment="1">
      <alignment vertical="center"/>
    </xf>
    <xf numFmtId="164" fontId="22" fillId="0" borderId="47" xfId="0" applyNumberFormat="1" applyFont="1" applyBorder="1" applyAlignment="1">
      <alignment vertical="center"/>
    </xf>
    <xf numFmtId="164" fontId="22" fillId="0" borderId="44" xfId="0" applyNumberFormat="1" applyFont="1" applyBorder="1" applyAlignment="1">
      <alignment vertical="center"/>
    </xf>
    <xf numFmtId="0" fontId="28" fillId="0" borderId="45" xfId="0" applyFont="1" applyBorder="1" applyAlignment="1">
      <alignment vertical="center"/>
    </xf>
    <xf numFmtId="0" fontId="28" fillId="0" borderId="25" xfId="0" applyFont="1" applyBorder="1" applyAlignment="1">
      <alignment vertical="center"/>
    </xf>
    <xf numFmtId="0" fontId="28" fillId="0" borderId="47" xfId="0" applyFont="1" applyBorder="1" applyAlignment="1">
      <alignment vertical="center"/>
    </xf>
    <xf numFmtId="0" fontId="28" fillId="0" borderId="44" xfId="0" applyFont="1" applyBorder="1" applyAlignment="1">
      <alignment vertical="center"/>
    </xf>
    <xf numFmtId="0" fontId="28" fillId="0" borderId="44" xfId="0" applyFont="1" applyBorder="1" applyAlignment="1">
      <alignment horizontal="center" vertical="center"/>
    </xf>
    <xf numFmtId="0" fontId="28" fillId="0" borderId="60" xfId="0" applyFont="1" applyBorder="1" applyAlignment="1">
      <alignment vertical="center"/>
    </xf>
    <xf numFmtId="0" fontId="22" fillId="0" borderId="55" xfId="0" applyFont="1" applyBorder="1" applyAlignment="1">
      <alignment horizontal="center" vertical="center"/>
    </xf>
    <xf numFmtId="167" fontId="22" fillId="11" borderId="48" xfId="0" applyNumberFormat="1" applyFont="1" applyFill="1" applyBorder="1" applyAlignment="1" applyProtection="1">
      <alignment horizontal="right"/>
      <protection locked="0"/>
    </xf>
    <xf numFmtId="167" fontId="29" fillId="0" borderId="0" xfId="3" applyNumberFormat="1" applyFont="1" applyAlignment="1">
      <alignment horizontal="right"/>
    </xf>
    <xf numFmtId="167" fontId="33" fillId="0" borderId="0" xfId="3" applyNumberFormat="1" applyFont="1" applyAlignment="1">
      <alignment horizontal="right"/>
    </xf>
    <xf numFmtId="167" fontId="34" fillId="0" borderId="0" xfId="3" applyNumberFormat="1" applyFont="1" applyAlignment="1">
      <alignment horizontal="right"/>
    </xf>
    <xf numFmtId="167" fontId="37" fillId="0" borderId="0" xfId="3" applyNumberFormat="1" applyFont="1" applyAlignment="1">
      <alignment horizontal="right"/>
    </xf>
    <xf numFmtId="0" fontId="0" fillId="0" borderId="0" xfId="0" applyAlignment="1">
      <alignment horizontal="right"/>
    </xf>
    <xf numFmtId="170" fontId="33" fillId="0" borderId="13" xfId="3" applyNumberFormat="1" applyFont="1" applyBorder="1" applyAlignment="1">
      <alignment horizontal="right" vertical="center"/>
    </xf>
    <xf numFmtId="170" fontId="29" fillId="0" borderId="11" xfId="3" applyNumberFormat="1" applyFont="1" applyBorder="1" applyAlignment="1">
      <alignment horizontal="right" vertical="center"/>
    </xf>
    <xf numFmtId="170" fontId="29" fillId="0" borderId="9" xfId="3" applyNumberFormat="1" applyFont="1" applyBorder="1" applyAlignment="1">
      <alignment horizontal="right" vertical="center"/>
    </xf>
    <xf numFmtId="170" fontId="29" fillId="0" borderId="12" xfId="3" applyNumberFormat="1" applyFont="1" applyBorder="1" applyAlignment="1">
      <alignment horizontal="right" vertical="center"/>
    </xf>
    <xf numFmtId="170" fontId="33" fillId="0" borderId="37" xfId="3" applyNumberFormat="1" applyFont="1" applyBorder="1" applyAlignment="1">
      <alignment horizontal="right" vertical="center"/>
    </xf>
    <xf numFmtId="170" fontId="29" fillId="0" borderId="10" xfId="3" applyNumberFormat="1" applyFont="1" applyBorder="1" applyAlignment="1">
      <alignment horizontal="right" vertical="center"/>
    </xf>
    <xf numFmtId="167" fontId="24" fillId="0" borderId="25" xfId="0" applyNumberFormat="1" applyFont="1" applyFill="1" applyBorder="1" applyAlignment="1">
      <alignment horizontal="right" vertical="center"/>
    </xf>
    <xf numFmtId="167" fontId="24" fillId="0" borderId="47" xfId="0" applyNumberFormat="1" applyFont="1" applyFill="1" applyBorder="1" applyAlignment="1">
      <alignment horizontal="right" vertical="center"/>
    </xf>
    <xf numFmtId="167" fontId="24" fillId="0" borderId="44" xfId="0" applyNumberFormat="1" applyFont="1" applyFill="1" applyBorder="1" applyAlignment="1">
      <alignment horizontal="right" vertical="center"/>
    </xf>
    <xf numFmtId="0" fontId="4" fillId="0" borderId="10" xfId="0" applyFont="1" applyBorder="1" applyAlignment="1">
      <alignment horizontal="center" vertical="center"/>
    </xf>
    <xf numFmtId="0" fontId="22" fillId="8" borderId="17" xfId="0" applyFont="1" applyFill="1" applyBorder="1"/>
    <xf numFmtId="0" fontId="22" fillId="6" borderId="6" xfId="0" applyFont="1" applyFill="1" applyBorder="1"/>
    <xf numFmtId="0" fontId="22" fillId="8" borderId="14" xfId="0" applyFont="1" applyFill="1" applyBorder="1" applyAlignment="1">
      <alignment horizontal="center"/>
    </xf>
    <xf numFmtId="0" fontId="22" fillId="6" borderId="16" xfId="0" applyFont="1" applyFill="1" applyBorder="1" applyAlignment="1">
      <alignment horizontal="center"/>
    </xf>
    <xf numFmtId="0" fontId="22" fillId="8" borderId="26" xfId="0" applyFont="1" applyFill="1" applyBorder="1"/>
    <xf numFmtId="0" fontId="22" fillId="8" borderId="28" xfId="0" applyFont="1" applyFill="1" applyBorder="1" applyAlignment="1">
      <alignment horizontal="center"/>
    </xf>
    <xf numFmtId="164" fontId="22" fillId="5" borderId="11" xfId="0" applyNumberFormat="1" applyFont="1" applyFill="1" applyBorder="1" applyProtection="1">
      <protection locked="0"/>
    </xf>
    <xf numFmtId="164" fontId="22" fillId="5" borderId="13" xfId="0" applyNumberFormat="1" applyFont="1" applyFill="1" applyBorder="1" applyProtection="1">
      <protection locked="0"/>
    </xf>
    <xf numFmtId="167" fontId="22" fillId="21" borderId="22" xfId="0" applyNumberFormat="1" applyFont="1" applyFill="1" applyBorder="1" applyAlignment="1" applyProtection="1">
      <alignment horizontal="right"/>
      <protection locked="0" hidden="1"/>
    </xf>
    <xf numFmtId="167" fontId="22" fillId="21" borderId="27" xfId="0" applyNumberFormat="1" applyFont="1" applyFill="1" applyBorder="1" applyAlignment="1" applyProtection="1">
      <alignment horizontal="right"/>
      <protection locked="0" hidden="1"/>
    </xf>
    <xf numFmtId="167" fontId="22" fillId="21" borderId="28" xfId="0" applyNumberFormat="1" applyFont="1" applyFill="1" applyBorder="1" applyAlignment="1" applyProtection="1">
      <alignment horizontal="right"/>
      <protection locked="0" hidden="1"/>
    </xf>
    <xf numFmtId="167" fontId="22" fillId="21" borderId="5" xfId="0" applyNumberFormat="1" applyFont="1" applyFill="1" applyBorder="1" applyAlignment="1" applyProtection="1">
      <alignment horizontal="right"/>
      <protection locked="0" hidden="1"/>
    </xf>
    <xf numFmtId="167" fontId="22" fillId="21" borderId="3" xfId="0" applyNumberFormat="1" applyFont="1" applyFill="1" applyBorder="1" applyAlignment="1" applyProtection="1">
      <alignment horizontal="right"/>
      <protection locked="0" hidden="1"/>
    </xf>
    <xf numFmtId="167" fontId="22" fillId="21" borderId="14" xfId="0" applyNumberFormat="1" applyFont="1" applyFill="1" applyBorder="1" applyAlignment="1" applyProtection="1">
      <alignment horizontal="right"/>
      <protection locked="0" hidden="1"/>
    </xf>
    <xf numFmtId="164" fontId="22" fillId="5" borderId="5" xfId="0" applyNumberFormat="1" applyFont="1" applyFill="1" applyBorder="1" applyAlignment="1" applyProtection="1">
      <alignment horizontal="right" vertical="center"/>
      <protection locked="0"/>
    </xf>
    <xf numFmtId="164" fontId="22" fillId="5" borderId="3" xfId="0" applyNumberFormat="1" applyFont="1" applyFill="1" applyBorder="1" applyAlignment="1" applyProtection="1">
      <alignment horizontal="right" vertical="center"/>
      <protection locked="0"/>
    </xf>
    <xf numFmtId="164" fontId="22" fillId="5" borderId="4" xfId="0" applyNumberFormat="1" applyFont="1" applyFill="1" applyBorder="1" applyAlignment="1" applyProtection="1">
      <alignment horizontal="right" vertical="center"/>
      <protection locked="0"/>
    </xf>
    <xf numFmtId="0" fontId="25" fillId="0" borderId="0" xfId="0" applyFont="1" applyBorder="1" applyAlignment="1" applyProtection="1"/>
    <xf numFmtId="0" fontId="25" fillId="0" borderId="30" xfId="0" applyFont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24" fillId="0" borderId="1" xfId="0" applyFont="1" applyFill="1" applyBorder="1" applyAlignment="1" applyProtection="1">
      <alignment horizontal="right"/>
    </xf>
    <xf numFmtId="168" fontId="24" fillId="8" borderId="3" xfId="0" applyNumberFormat="1" applyFont="1" applyFill="1" applyBorder="1" applyAlignment="1" applyProtection="1">
      <alignment vertical="center"/>
    </xf>
    <xf numFmtId="167" fontId="26" fillId="13" borderId="5" xfId="0" applyNumberFormat="1" applyFont="1" applyFill="1" applyBorder="1" applyAlignment="1" applyProtection="1">
      <alignment horizontal="right" vertical="center"/>
    </xf>
    <xf numFmtId="0" fontId="24" fillId="0" borderId="0" xfId="0" applyFont="1" applyFill="1" applyBorder="1" applyAlignment="1" applyProtection="1">
      <alignment horizontal="right"/>
    </xf>
    <xf numFmtId="168" fontId="24" fillId="0" borderId="0" xfId="0" applyNumberFormat="1" applyFont="1" applyFill="1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" fillId="3" borderId="38" xfId="0" applyFont="1" applyFill="1" applyBorder="1" applyAlignment="1" applyProtection="1">
      <alignment horizontal="left" vertical="center" indent="1"/>
    </xf>
    <xf numFmtId="0" fontId="1" fillId="2" borderId="28" xfId="0" applyFont="1" applyFill="1" applyBorder="1" applyAlignment="1" applyProtection="1">
      <alignment horizontal="center" vertical="center"/>
    </xf>
    <xf numFmtId="167" fontId="1" fillId="3" borderId="22" xfId="0" applyNumberFormat="1" applyFont="1" applyFill="1" applyBorder="1" applyAlignment="1" applyProtection="1">
      <alignment horizontal="right" vertical="center"/>
    </xf>
    <xf numFmtId="167" fontId="1" fillId="3" borderId="27" xfId="0" applyNumberFormat="1" applyFont="1" applyFill="1" applyBorder="1" applyAlignment="1" applyProtection="1">
      <alignment horizontal="right" vertical="center"/>
    </xf>
    <xf numFmtId="167" fontId="1" fillId="3" borderId="29" xfId="0" applyNumberFormat="1" applyFont="1" applyFill="1" applyBorder="1" applyAlignment="1" applyProtection="1">
      <alignment horizontal="right" vertical="center"/>
    </xf>
    <xf numFmtId="167" fontId="2" fillId="3" borderId="19" xfId="0" applyNumberFormat="1" applyFont="1" applyFill="1" applyBorder="1" applyAlignment="1" applyProtection="1">
      <alignment horizontal="right" vertical="center"/>
    </xf>
    <xf numFmtId="0" fontId="1" fillId="3" borderId="39" xfId="0" applyFont="1" applyFill="1" applyBorder="1" applyAlignment="1" applyProtection="1">
      <alignment horizontal="left" vertical="center" indent="1"/>
    </xf>
    <xf numFmtId="0" fontId="1" fillId="2" borderId="14" xfId="0" applyFont="1" applyFill="1" applyBorder="1" applyAlignment="1" applyProtection="1">
      <alignment horizontal="center" vertical="center"/>
    </xf>
    <xf numFmtId="167" fontId="1" fillId="6" borderId="5" xfId="0" applyNumberFormat="1" applyFont="1" applyFill="1" applyBorder="1" applyAlignment="1" applyProtection="1">
      <alignment horizontal="right" vertical="center"/>
    </xf>
    <xf numFmtId="167" fontId="1" fillId="6" borderId="46" xfId="0" applyNumberFormat="1" applyFont="1" applyFill="1" applyBorder="1" applyAlignment="1" applyProtection="1">
      <alignment horizontal="right" vertical="center"/>
    </xf>
    <xf numFmtId="0" fontId="9" fillId="0" borderId="0" xfId="0" applyFont="1" applyProtection="1"/>
    <xf numFmtId="0" fontId="26" fillId="0" borderId="39" xfId="0" applyFont="1" applyFill="1" applyBorder="1" applyAlignment="1" applyProtection="1">
      <alignment horizontal="left" vertical="center" indent="3"/>
    </xf>
    <xf numFmtId="0" fontId="26" fillId="14" borderId="14" xfId="0" applyFont="1" applyFill="1" applyBorder="1" applyAlignment="1" applyProtection="1">
      <alignment horizontal="center" vertical="center"/>
    </xf>
    <xf numFmtId="167" fontId="26" fillId="13" borderId="3" xfId="0" applyNumberFormat="1" applyFont="1" applyFill="1" applyBorder="1" applyAlignment="1" applyProtection="1">
      <alignment horizontal="right" vertical="center"/>
    </xf>
    <xf numFmtId="167" fontId="26" fillId="13" borderId="4" xfId="0" applyNumberFormat="1" applyFont="1" applyFill="1" applyBorder="1" applyAlignment="1" applyProtection="1">
      <alignment horizontal="right" vertical="center"/>
    </xf>
    <xf numFmtId="167" fontId="26" fillId="8" borderId="7" xfId="0" applyNumberFormat="1" applyFont="1" applyFill="1" applyBorder="1" applyAlignment="1" applyProtection="1">
      <alignment horizontal="right" vertical="center"/>
    </xf>
    <xf numFmtId="167" fontId="26" fillId="13" borderId="14" xfId="0" applyNumberFormat="1" applyFont="1" applyFill="1" applyBorder="1" applyAlignment="1" applyProtection="1">
      <alignment horizontal="right" vertical="center"/>
    </xf>
    <xf numFmtId="0" fontId="27" fillId="0" borderId="0" xfId="0" applyFont="1" applyProtection="1"/>
    <xf numFmtId="167" fontId="26" fillId="17" borderId="7" xfId="0" applyNumberFormat="1" applyFont="1" applyFill="1" applyBorder="1" applyAlignment="1" applyProtection="1">
      <alignment horizontal="right"/>
    </xf>
    <xf numFmtId="0" fontId="27" fillId="14" borderId="0" xfId="0" applyFont="1" applyFill="1" applyProtection="1"/>
    <xf numFmtId="167" fontId="1" fillId="3" borderId="5" xfId="0" applyNumberFormat="1" applyFont="1" applyFill="1" applyBorder="1" applyAlignment="1" applyProtection="1">
      <alignment horizontal="right"/>
    </xf>
    <xf numFmtId="167" fontId="1" fillId="3" borderId="3" xfId="0" applyNumberFormat="1" applyFont="1" applyFill="1" applyBorder="1" applyAlignment="1" applyProtection="1">
      <alignment horizontal="right"/>
    </xf>
    <xf numFmtId="167" fontId="1" fillId="3" borderId="4" xfId="0" applyNumberFormat="1" applyFont="1" applyFill="1" applyBorder="1" applyAlignment="1" applyProtection="1">
      <alignment horizontal="right"/>
    </xf>
    <xf numFmtId="0" fontId="1" fillId="0" borderId="39" xfId="0" applyFont="1" applyFill="1" applyBorder="1" applyAlignment="1" applyProtection="1">
      <alignment horizontal="left" vertical="center" indent="2"/>
    </xf>
    <xf numFmtId="0" fontId="1" fillId="0" borderId="14" xfId="0" applyFont="1" applyBorder="1" applyAlignment="1" applyProtection="1">
      <alignment horizontal="center" vertical="center"/>
    </xf>
    <xf numFmtId="167" fontId="1" fillId="0" borderId="5" xfId="0" applyNumberFormat="1" applyFont="1" applyBorder="1" applyAlignment="1" applyProtection="1">
      <alignment horizontal="right" vertical="center"/>
    </xf>
    <xf numFmtId="167" fontId="1" fillId="0" borderId="3" xfId="0" applyNumberFormat="1" applyFont="1" applyBorder="1" applyAlignment="1" applyProtection="1">
      <alignment horizontal="right" vertical="center"/>
    </xf>
    <xf numFmtId="167" fontId="1" fillId="0" borderId="4" xfId="0" applyNumberFormat="1" applyFont="1" applyBorder="1" applyAlignment="1" applyProtection="1">
      <alignment horizontal="right" vertical="center"/>
    </xf>
    <xf numFmtId="167" fontId="1" fillId="8" borderId="7" xfId="0" applyNumberFormat="1" applyFont="1" applyFill="1" applyBorder="1" applyAlignment="1" applyProtection="1">
      <alignment horizontal="right" vertical="center"/>
    </xf>
    <xf numFmtId="0" fontId="0" fillId="0" borderId="0" xfId="0" applyFont="1" applyProtection="1"/>
    <xf numFmtId="167" fontId="1" fillId="0" borderId="46" xfId="0" applyNumberFormat="1" applyFont="1" applyBorder="1" applyAlignment="1" applyProtection="1">
      <alignment horizontal="right" vertical="center"/>
    </xf>
    <xf numFmtId="0" fontId="1" fillId="18" borderId="39" xfId="0" applyFont="1" applyFill="1" applyBorder="1" applyAlignment="1" applyProtection="1">
      <alignment horizontal="left" vertical="center"/>
    </xf>
    <xf numFmtId="164" fontId="1" fillId="18" borderId="14" xfId="0" applyNumberFormat="1" applyFont="1" applyFill="1" applyBorder="1" applyAlignment="1" applyProtection="1">
      <alignment horizontal="center" vertical="center"/>
    </xf>
    <xf numFmtId="164" fontId="1" fillId="18" borderId="5" xfId="0" applyNumberFormat="1" applyFont="1" applyFill="1" applyBorder="1" applyAlignment="1" applyProtection="1">
      <alignment horizontal="right"/>
    </xf>
    <xf numFmtId="164" fontId="1" fillId="18" borderId="46" xfId="0" applyNumberFormat="1" applyFont="1" applyFill="1" applyBorder="1" applyAlignment="1" applyProtection="1">
      <alignment horizontal="right"/>
    </xf>
    <xf numFmtId="167" fontId="2" fillId="18" borderId="19" xfId="0" applyNumberFormat="1" applyFont="1" applyFill="1" applyBorder="1" applyAlignment="1" applyProtection="1">
      <alignment horizontal="right" vertical="center"/>
    </xf>
    <xf numFmtId="164" fontId="1" fillId="3" borderId="39" xfId="0" applyNumberFormat="1" applyFont="1" applyFill="1" applyBorder="1" applyAlignment="1" applyProtection="1">
      <alignment horizontal="left" vertical="center" indent="1"/>
    </xf>
    <xf numFmtId="164" fontId="1" fillId="3" borderId="14" xfId="0" applyNumberFormat="1" applyFont="1" applyFill="1" applyBorder="1" applyAlignment="1" applyProtection="1">
      <alignment horizontal="center" vertical="center"/>
    </xf>
    <xf numFmtId="164" fontId="1" fillId="3" borderId="5" xfId="0" applyNumberFormat="1" applyFont="1" applyFill="1" applyBorder="1" applyAlignment="1" applyProtection="1">
      <alignment horizontal="right"/>
    </xf>
    <xf numFmtId="164" fontId="1" fillId="3" borderId="3" xfId="0" applyNumberFormat="1" applyFont="1" applyFill="1" applyBorder="1" applyAlignment="1" applyProtection="1">
      <alignment horizontal="right"/>
    </xf>
    <xf numFmtId="164" fontId="1" fillId="3" borderId="4" xfId="0" applyNumberFormat="1" applyFont="1" applyFill="1" applyBorder="1" applyAlignment="1" applyProtection="1">
      <alignment horizontal="right"/>
    </xf>
    <xf numFmtId="0" fontId="1" fillId="0" borderId="39" xfId="0" applyFont="1" applyFill="1" applyBorder="1" applyAlignment="1" applyProtection="1">
      <alignment horizontal="left" vertical="center" wrapText="1" indent="2"/>
    </xf>
    <xf numFmtId="0" fontId="1" fillId="3" borderId="14" xfId="0" applyFont="1" applyFill="1" applyBorder="1" applyAlignment="1" applyProtection="1">
      <alignment horizontal="center" vertical="center"/>
    </xf>
    <xf numFmtId="167" fontId="1" fillId="3" borderId="46" xfId="0" applyNumberFormat="1" applyFont="1" applyFill="1" applyBorder="1" applyAlignment="1" applyProtection="1">
      <alignment horizontal="right" vertical="center"/>
    </xf>
    <xf numFmtId="167" fontId="5" fillId="4" borderId="5" xfId="0" applyNumberFormat="1" applyFont="1" applyFill="1" applyBorder="1" applyAlignment="1" applyProtection="1">
      <alignment horizontal="right" vertical="center"/>
    </xf>
    <xf numFmtId="167" fontId="5" fillId="4" borderId="46" xfId="0" applyNumberFormat="1" applyFont="1" applyFill="1" applyBorder="1" applyAlignment="1" applyProtection="1">
      <alignment horizontal="right" vertical="center"/>
    </xf>
    <xf numFmtId="0" fontId="1" fillId="6" borderId="14" xfId="0" applyFont="1" applyFill="1" applyBorder="1" applyAlignment="1" applyProtection="1">
      <alignment horizontal="center" vertical="center"/>
    </xf>
    <xf numFmtId="167" fontId="1" fillId="6" borderId="3" xfId="0" applyNumberFormat="1" applyFont="1" applyFill="1" applyBorder="1" applyAlignment="1" applyProtection="1">
      <alignment horizontal="right" vertical="center"/>
    </xf>
    <xf numFmtId="167" fontId="1" fillId="6" borderId="4" xfId="0" applyNumberFormat="1" applyFont="1" applyFill="1" applyBorder="1" applyAlignment="1" applyProtection="1">
      <alignment horizontal="right" vertical="center"/>
    </xf>
    <xf numFmtId="0" fontId="1" fillId="18" borderId="40" xfId="0" applyFont="1" applyFill="1" applyBorder="1" applyAlignment="1" applyProtection="1">
      <alignment horizontal="left" vertical="center"/>
    </xf>
    <xf numFmtId="164" fontId="1" fillId="18" borderId="16" xfId="0" applyNumberFormat="1" applyFont="1" applyFill="1" applyBorder="1" applyAlignment="1" applyProtection="1">
      <alignment horizontal="center" vertical="center"/>
    </xf>
    <xf numFmtId="164" fontId="1" fillId="18" borderId="6" xfId="0" applyNumberFormat="1" applyFont="1" applyFill="1" applyBorder="1" applyAlignment="1" applyProtection="1">
      <alignment horizontal="right"/>
    </xf>
    <xf numFmtId="164" fontId="1" fillId="18" borderId="15" xfId="0" applyNumberFormat="1" applyFont="1" applyFill="1" applyBorder="1" applyAlignment="1" applyProtection="1">
      <alignment horizontal="right"/>
    </xf>
    <xf numFmtId="164" fontId="1" fillId="18" borderId="23" xfId="0" applyNumberFormat="1" applyFont="1" applyFill="1" applyBorder="1" applyAlignment="1" applyProtection="1">
      <alignment horizontal="right"/>
    </xf>
    <xf numFmtId="167" fontId="2" fillId="18" borderId="24" xfId="0" applyNumberFormat="1" applyFont="1" applyFill="1" applyBorder="1" applyAlignment="1" applyProtection="1">
      <alignment horizontal="right" vertical="center"/>
    </xf>
    <xf numFmtId="0" fontId="0" fillId="0" borderId="0" xfId="0" applyFill="1" applyProtection="1"/>
    <xf numFmtId="0" fontId="0" fillId="0" borderId="0" xfId="0" applyAlignment="1" applyProtection="1">
      <alignment horizontal="center" vertical="center"/>
    </xf>
    <xf numFmtId="167" fontId="0" fillId="0" borderId="0" xfId="0" applyNumberFormat="1" applyAlignment="1" applyProtection="1">
      <alignment horizontal="center"/>
    </xf>
    <xf numFmtId="167" fontId="0" fillId="8" borderId="0" xfId="0" applyNumberFormat="1" applyFill="1" applyAlignment="1" applyProtection="1">
      <alignment horizontal="center"/>
    </xf>
    <xf numFmtId="167" fontId="36" fillId="0" borderId="0" xfId="0" applyNumberFormat="1" applyFont="1" applyAlignment="1" applyProtection="1">
      <alignment horizontal="center"/>
    </xf>
    <xf numFmtId="0" fontId="33" fillId="0" borderId="0" xfId="0" applyFont="1" applyFill="1" applyBorder="1" applyAlignment="1" applyProtection="1"/>
    <xf numFmtId="0" fontId="34" fillId="0" borderId="0" xfId="0" applyFont="1" applyAlignment="1" applyProtection="1">
      <alignment horizontal="center" vertical="center"/>
    </xf>
    <xf numFmtId="167" fontId="29" fillId="0" borderId="0" xfId="3" applyNumberFormat="1" applyFont="1" applyAlignment="1" applyProtection="1">
      <alignment horizontal="right"/>
    </xf>
    <xf numFmtId="167" fontId="33" fillId="0" borderId="0" xfId="3" applyNumberFormat="1" applyFont="1" applyAlignment="1" applyProtection="1">
      <alignment horizontal="right"/>
    </xf>
    <xf numFmtId="0" fontId="34" fillId="0" borderId="0" xfId="0" applyFont="1" applyProtection="1"/>
    <xf numFmtId="167" fontId="22" fillId="11" borderId="3" xfId="0" applyNumberFormat="1" applyFont="1" applyFill="1" applyBorder="1" applyAlignment="1" applyProtection="1">
      <alignment horizontal="right"/>
    </xf>
    <xf numFmtId="167" fontId="22" fillId="11" borderId="3" xfId="0" applyNumberFormat="1" applyFont="1" applyFill="1" applyBorder="1" applyAlignment="1" applyProtection="1">
      <alignment horizontal="center"/>
    </xf>
    <xf numFmtId="167" fontId="22" fillId="12" borderId="0" xfId="0" applyNumberFormat="1" applyFont="1" applyFill="1" applyBorder="1" applyAlignment="1" applyProtection="1">
      <alignment horizontal="right"/>
    </xf>
    <xf numFmtId="167" fontId="22" fillId="8" borderId="0" xfId="0" applyNumberFormat="1" applyFont="1" applyFill="1" applyBorder="1" applyAlignment="1" applyProtection="1">
      <alignment horizontal="right"/>
    </xf>
    <xf numFmtId="167" fontId="2" fillId="8" borderId="0" xfId="0" applyNumberFormat="1" applyFont="1" applyFill="1" applyBorder="1" applyProtection="1"/>
    <xf numFmtId="0" fontId="13" fillId="0" borderId="0" xfId="0" applyFont="1" applyBorder="1" applyAlignment="1" applyProtection="1">
      <alignment vertical="center"/>
    </xf>
    <xf numFmtId="0" fontId="1" fillId="0" borderId="0" xfId="0" applyFont="1" applyBorder="1" applyProtection="1"/>
    <xf numFmtId="165" fontId="18" fillId="0" borderId="0" xfId="3" applyFont="1" applyBorder="1" applyAlignment="1" applyProtection="1">
      <alignment horizontal="center" vertical="top" wrapText="1"/>
    </xf>
    <xf numFmtId="0" fontId="1" fillId="0" borderId="39" xfId="0" applyFont="1" applyFill="1" applyBorder="1" applyAlignment="1" applyProtection="1">
      <alignment horizontal="left" vertical="center" indent="3"/>
    </xf>
    <xf numFmtId="167" fontId="1" fillId="4" borderId="5" xfId="0" applyNumberFormat="1" applyFont="1" applyFill="1" applyBorder="1" applyAlignment="1" applyProtection="1">
      <alignment horizontal="right" vertical="center"/>
    </xf>
    <xf numFmtId="167" fontId="1" fillId="4" borderId="3" xfId="0" applyNumberFormat="1" applyFont="1" applyFill="1" applyBorder="1" applyAlignment="1" applyProtection="1">
      <alignment horizontal="right" vertical="center"/>
    </xf>
    <xf numFmtId="167" fontId="1" fillId="4" borderId="4" xfId="0" applyNumberFormat="1" applyFont="1" applyFill="1" applyBorder="1" applyAlignment="1" applyProtection="1">
      <alignment horizontal="right" vertical="center"/>
    </xf>
    <xf numFmtId="0" fontId="23" fillId="0" borderId="0" xfId="0" applyFont="1" applyProtection="1"/>
    <xf numFmtId="0" fontId="23" fillId="0" borderId="0" xfId="0" applyFont="1"/>
    <xf numFmtId="164" fontId="1" fillId="4" borderId="5" xfId="0" applyNumberFormat="1" applyFont="1" applyFill="1" applyBorder="1" applyAlignment="1">
      <alignment horizontal="right" vertical="center"/>
    </xf>
    <xf numFmtId="164" fontId="1" fillId="4" borderId="3" xfId="0" applyNumberFormat="1" applyFont="1" applyFill="1" applyBorder="1" applyAlignment="1">
      <alignment horizontal="right" vertical="center"/>
    </xf>
    <xf numFmtId="164" fontId="1" fillId="4" borderId="4" xfId="0" applyNumberFormat="1" applyFont="1" applyFill="1" applyBorder="1" applyAlignment="1">
      <alignment horizontal="right" vertical="center"/>
    </xf>
    <xf numFmtId="0" fontId="38" fillId="0" borderId="0" xfId="0" applyFont="1"/>
    <xf numFmtId="168" fontId="1" fillId="8" borderId="3" xfId="0" applyNumberFormat="1" applyFont="1" applyFill="1" applyBorder="1" applyAlignment="1">
      <alignment horizontal="center"/>
    </xf>
    <xf numFmtId="14" fontId="0" fillId="0" borderId="0" xfId="0" applyNumberFormat="1"/>
    <xf numFmtId="166" fontId="4" fillId="0" borderId="6" xfId="0" applyNumberFormat="1" applyFont="1" applyBorder="1" applyAlignment="1" applyProtection="1">
      <alignment horizontal="center" vertical="center" wrapText="1"/>
      <protection hidden="1"/>
    </xf>
    <xf numFmtId="166" fontId="4" fillId="0" borderId="15" xfId="0" applyNumberFormat="1" applyFont="1" applyBorder="1" applyAlignment="1" applyProtection="1">
      <alignment horizontal="center" vertical="center" wrapText="1"/>
      <protection hidden="1"/>
    </xf>
    <xf numFmtId="166" fontId="4" fillId="0" borderId="23" xfId="0" applyNumberFormat="1" applyFont="1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10" fontId="28" fillId="0" borderId="20" xfId="0" applyNumberFormat="1" applyFont="1" applyBorder="1" applyAlignment="1" applyProtection="1">
      <alignment horizontal="center" vertical="center" wrapText="1"/>
      <protection hidden="1"/>
    </xf>
    <xf numFmtId="10" fontId="28" fillId="0" borderId="9" xfId="0" applyNumberFormat="1" applyFont="1" applyBorder="1" applyAlignment="1" applyProtection="1">
      <alignment horizontal="center" vertical="center" wrapText="1"/>
      <protection hidden="1"/>
    </xf>
    <xf numFmtId="164" fontId="2" fillId="0" borderId="13" xfId="0" applyNumberFormat="1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164" fontId="2" fillId="0" borderId="37" xfId="0" applyNumberFormat="1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8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10" fontId="25" fillId="0" borderId="48" xfId="0" applyNumberFormat="1" applyFont="1" applyBorder="1" applyAlignment="1" applyProtection="1">
      <alignment horizontal="center" vertical="center" wrapText="1"/>
      <protection hidden="1"/>
    </xf>
    <xf numFmtId="10" fontId="25" fillId="0" borderId="9" xfId="0" applyNumberFormat="1" applyFont="1" applyBorder="1" applyAlignment="1" applyProtection="1">
      <alignment horizontal="center" vertical="center" wrapText="1"/>
      <protection hidden="1"/>
    </xf>
    <xf numFmtId="10" fontId="25" fillId="0" borderId="11" xfId="0" applyNumberFormat="1" applyFont="1" applyBorder="1" applyAlignment="1" applyProtection="1">
      <alignment horizontal="center" vertical="center" wrapText="1"/>
      <protection hidden="1"/>
    </xf>
    <xf numFmtId="10" fontId="25" fillId="0" borderId="10" xfId="0" applyNumberFormat="1" applyFont="1" applyBorder="1" applyAlignment="1" applyProtection="1">
      <alignment horizontal="center" vertical="center" wrapText="1"/>
      <protection hidden="1"/>
    </xf>
    <xf numFmtId="10" fontId="28" fillId="0" borderId="11" xfId="0" applyNumberFormat="1" applyFont="1" applyBorder="1" applyAlignment="1" applyProtection="1">
      <alignment horizontal="center" vertical="center" wrapText="1"/>
      <protection hidden="1"/>
    </xf>
    <xf numFmtId="10" fontId="28" fillId="0" borderId="10" xfId="0" applyNumberFormat="1" applyFont="1" applyBorder="1" applyAlignment="1" applyProtection="1">
      <alignment horizontal="center" vertical="center" wrapText="1"/>
      <protection hidden="1"/>
    </xf>
    <xf numFmtId="10" fontId="28" fillId="0" borderId="48" xfId="0" applyNumberFormat="1" applyFont="1" applyBorder="1" applyAlignment="1" applyProtection="1">
      <alignment horizontal="center" vertical="center" wrapText="1"/>
      <protection hidden="1"/>
    </xf>
    <xf numFmtId="166" fontId="1" fillId="9" borderId="18" xfId="0" applyNumberFormat="1" applyFont="1" applyFill="1" applyBorder="1" applyAlignment="1" applyProtection="1">
      <alignment horizontal="center" vertical="center"/>
      <protection hidden="1"/>
    </xf>
    <xf numFmtId="166" fontId="1" fillId="9" borderId="15" xfId="0" applyNumberFormat="1" applyFont="1" applyFill="1" applyBorder="1" applyAlignment="1" applyProtection="1">
      <alignment horizontal="center" vertical="center"/>
      <protection hidden="1"/>
    </xf>
    <xf numFmtId="166" fontId="1" fillId="9" borderId="16" xfId="0" applyNumberFormat="1" applyFont="1" applyFill="1" applyBorder="1" applyAlignment="1" applyProtection="1">
      <alignment horizontal="center" vertical="center"/>
      <protection hidden="1"/>
    </xf>
    <xf numFmtId="0" fontId="14" fillId="0" borderId="0" xfId="4"/>
    <xf numFmtId="0" fontId="40" fillId="0" borderId="0" xfId="4" applyNumberFormat="1" applyFont="1" applyBorder="1" applyAlignment="1">
      <alignment horizontal="left" wrapText="1"/>
    </xf>
    <xf numFmtId="0" fontId="25" fillId="0" borderId="37" xfId="4" applyNumberFormat="1" applyFont="1" applyBorder="1" applyAlignment="1" applyProtection="1">
      <alignment horizontal="center" vertical="center" wrapText="1"/>
      <protection hidden="1"/>
    </xf>
    <xf numFmtId="0" fontId="25" fillId="0" borderId="13" xfId="4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41" fillId="0" borderId="0" xfId="0" applyFont="1" applyProtection="1">
      <protection hidden="1"/>
    </xf>
    <xf numFmtId="164" fontId="24" fillId="6" borderId="17" xfId="4" applyNumberFormat="1" applyFont="1" applyFill="1" applyBorder="1" applyAlignment="1">
      <alignment horizontal="left" vertical="center"/>
    </xf>
    <xf numFmtId="164" fontId="24" fillId="6" borderId="3" xfId="4" applyNumberFormat="1" applyFont="1" applyFill="1" applyBorder="1" applyAlignment="1">
      <alignment horizontal="left" vertical="center"/>
    </xf>
    <xf numFmtId="164" fontId="24" fillId="18" borderId="3" xfId="4" applyNumberFormat="1" applyFont="1" applyFill="1" applyBorder="1" applyAlignment="1">
      <alignment horizontal="left" vertical="center"/>
    </xf>
    <xf numFmtId="49" fontId="24" fillId="18" borderId="14" xfId="4" applyNumberFormat="1" applyFont="1" applyFill="1" applyBorder="1" applyAlignment="1" applyProtection="1">
      <alignment horizontal="left" vertical="center" wrapText="1"/>
      <protection locked="0"/>
    </xf>
    <xf numFmtId="164" fontId="24" fillId="6" borderId="18" xfId="4" applyNumberFormat="1" applyFont="1" applyFill="1" applyBorder="1" applyAlignment="1">
      <alignment horizontal="left" vertical="center"/>
    </xf>
    <xf numFmtId="164" fontId="24" fillId="6" borderId="15" xfId="4" applyNumberFormat="1" applyFont="1" applyFill="1" applyBorder="1" applyAlignment="1">
      <alignment horizontal="left" vertical="center"/>
    </xf>
    <xf numFmtId="49" fontId="24" fillId="6" borderId="16" xfId="4" applyNumberFormat="1" applyFont="1" applyFill="1" applyBorder="1" applyAlignment="1" applyProtection="1">
      <alignment horizontal="left" vertical="center" wrapText="1"/>
      <protection locked="0"/>
    </xf>
    <xf numFmtId="0" fontId="22" fillId="18" borderId="17" xfId="0" applyFont="1" applyFill="1" applyBorder="1" applyAlignment="1">
      <alignment horizontal="left" wrapText="1" indent="2"/>
    </xf>
    <xf numFmtId="0" fontId="22" fillId="18" borderId="34" xfId="0" applyFont="1" applyFill="1" applyBorder="1" applyAlignment="1">
      <alignment horizontal="left" wrapText="1" indent="2"/>
    </xf>
    <xf numFmtId="164" fontId="24" fillId="18" borderId="35" xfId="4" applyNumberFormat="1" applyFont="1" applyFill="1" applyBorder="1" applyAlignment="1">
      <alignment horizontal="left" vertical="center"/>
    </xf>
    <xf numFmtId="49" fontId="24" fillId="18" borderId="36" xfId="4" applyNumberFormat="1" applyFont="1" applyFill="1" applyBorder="1" applyAlignment="1" applyProtection="1">
      <alignment horizontal="left" vertical="center" wrapText="1"/>
      <protection locked="0"/>
    </xf>
    <xf numFmtId="164" fontId="24" fillId="6" borderId="51" xfId="4" applyNumberFormat="1" applyFont="1" applyFill="1" applyBorder="1" applyAlignment="1">
      <alignment horizontal="left" vertical="center"/>
    </xf>
    <xf numFmtId="164" fontId="24" fillId="6" borderId="64" xfId="4" applyNumberFormat="1" applyFont="1" applyFill="1" applyBorder="1" applyAlignment="1">
      <alignment horizontal="left" vertical="center"/>
    </xf>
    <xf numFmtId="164" fontId="24" fillId="6" borderId="65" xfId="4" applyNumberFormat="1" applyFont="1" applyFill="1" applyBorder="1" applyAlignment="1" applyProtection="1">
      <alignment horizontal="left" vertical="center"/>
      <protection locked="0"/>
    </xf>
    <xf numFmtId="164" fontId="24" fillId="6" borderId="14" xfId="4" applyNumberFormat="1" applyFont="1" applyFill="1" applyBorder="1" applyAlignment="1" applyProtection="1">
      <alignment horizontal="left" vertical="center"/>
      <protection locked="0"/>
    </xf>
    <xf numFmtId="164" fontId="1" fillId="22" borderId="7" xfId="0" applyNumberFormat="1" applyFont="1" applyFill="1" applyBorder="1" applyAlignment="1" applyProtection="1">
      <alignment horizontal="right" vertical="center"/>
      <protection locked="0"/>
    </xf>
    <xf numFmtId="0" fontId="2" fillId="0" borderId="57" xfId="0" applyFont="1" applyBorder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0" fontId="2" fillId="0" borderId="60" xfId="0" applyFont="1" applyBorder="1" applyAlignment="1" applyProtection="1">
      <alignment horizontal="center" vertical="center"/>
      <protection hidden="1"/>
    </xf>
    <xf numFmtId="0" fontId="2" fillId="0" borderId="58" xfId="0" applyFont="1" applyBorder="1" applyAlignment="1" applyProtection="1">
      <alignment horizontal="center" vertical="center"/>
      <protection hidden="1"/>
    </xf>
    <xf numFmtId="0" fontId="2" fillId="0" borderId="55" xfId="0" applyFont="1" applyBorder="1" applyAlignment="1" applyProtection="1">
      <alignment horizontal="center" vertical="center"/>
      <protection hidden="1"/>
    </xf>
    <xf numFmtId="0" fontId="2" fillId="0" borderId="34" xfId="0" applyFont="1" applyBorder="1" applyAlignment="1" applyProtection="1">
      <alignment horizontal="center" vertical="center"/>
      <protection hidden="1"/>
    </xf>
    <xf numFmtId="0" fontId="2" fillId="0" borderId="35" xfId="0" applyFont="1" applyBorder="1" applyAlignment="1" applyProtection="1">
      <alignment horizontal="center" vertical="center"/>
      <protection hidden="1"/>
    </xf>
    <xf numFmtId="0" fontId="2" fillId="0" borderId="52" xfId="0" applyFont="1" applyBorder="1" applyAlignment="1" applyProtection="1">
      <alignment horizontal="center" vertical="center"/>
      <protection hidden="1"/>
    </xf>
    <xf numFmtId="0" fontId="2" fillId="9" borderId="51" xfId="0" applyFont="1" applyFill="1" applyBorder="1" applyAlignment="1">
      <alignment horizontal="center" vertical="center"/>
    </xf>
    <xf numFmtId="0" fontId="2" fillId="9" borderId="41" xfId="0" applyFont="1" applyFill="1" applyBorder="1" applyAlignment="1">
      <alignment horizontal="center" vertical="center"/>
    </xf>
    <xf numFmtId="0" fontId="2" fillId="9" borderId="53" xfId="0" applyFont="1" applyFill="1" applyBorder="1" applyAlignment="1">
      <alignment horizontal="center" vertical="center"/>
    </xf>
    <xf numFmtId="0" fontId="2" fillId="9" borderId="59" xfId="0" applyFont="1" applyFill="1" applyBorder="1" applyAlignment="1">
      <alignment horizontal="center" vertical="center"/>
    </xf>
    <xf numFmtId="0" fontId="2" fillId="8" borderId="60" xfId="0" applyFont="1" applyFill="1" applyBorder="1" applyAlignment="1" applyProtection="1">
      <alignment horizontal="center" vertical="center"/>
      <protection hidden="1"/>
    </xf>
    <xf numFmtId="0" fontId="2" fillId="8" borderId="58" xfId="0" applyFont="1" applyFill="1" applyBorder="1" applyAlignment="1" applyProtection="1">
      <alignment horizontal="center" vertical="center"/>
      <protection hidden="1"/>
    </xf>
    <xf numFmtId="0" fontId="2" fillId="8" borderId="55" xfId="0" applyFont="1" applyFill="1" applyBorder="1" applyAlignment="1" applyProtection="1">
      <alignment horizontal="center" vertical="center"/>
      <protection hidden="1"/>
    </xf>
    <xf numFmtId="0" fontId="2" fillId="0" borderId="60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2" fillId="0" borderId="56" xfId="0" applyFont="1" applyBorder="1" applyAlignment="1">
      <alignment horizontal="center" vertical="center" wrapText="1"/>
    </xf>
    <xf numFmtId="0" fontId="22" fillId="0" borderId="35" xfId="0" applyFont="1" applyBorder="1" applyAlignment="1">
      <alignment horizontal="center" vertical="center" wrapText="1"/>
    </xf>
    <xf numFmtId="0" fontId="22" fillId="0" borderId="3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49" xfId="0" applyFont="1" applyBorder="1" applyAlignment="1" applyProtection="1">
      <alignment horizontal="center" vertical="center"/>
      <protection hidden="1"/>
    </xf>
    <xf numFmtId="0" fontId="2" fillId="0" borderId="56" xfId="0" applyFont="1" applyBorder="1" applyAlignment="1" applyProtection="1">
      <alignment horizontal="center" vertical="center"/>
      <protection hidden="1"/>
    </xf>
    <xf numFmtId="0" fontId="2" fillId="0" borderId="36" xfId="0" applyFont="1" applyBorder="1" applyAlignment="1" applyProtection="1">
      <alignment horizontal="center" vertical="center"/>
      <protection hidden="1"/>
    </xf>
    <xf numFmtId="0" fontId="2" fillId="0" borderId="50" xfId="0" applyFont="1" applyBorder="1" applyAlignment="1" applyProtection="1">
      <alignment horizontal="center" vertical="center"/>
      <protection hidden="1"/>
    </xf>
    <xf numFmtId="164" fontId="2" fillId="0" borderId="34" xfId="0" applyNumberFormat="1" applyFont="1" applyBorder="1" applyAlignment="1" applyProtection="1">
      <alignment horizontal="center" vertical="center"/>
      <protection hidden="1"/>
    </xf>
    <xf numFmtId="164" fontId="2" fillId="0" borderId="61" xfId="0" applyNumberFormat="1" applyFont="1" applyBorder="1" applyAlignment="1" applyProtection="1">
      <alignment horizontal="center" vertical="center"/>
      <protection hidden="1"/>
    </xf>
    <xf numFmtId="164" fontId="2" fillId="0" borderId="24" xfId="0" applyNumberFormat="1" applyFont="1" applyBorder="1" applyAlignment="1" applyProtection="1">
      <alignment horizontal="center" vertical="center"/>
      <protection hidden="1"/>
    </xf>
    <xf numFmtId="0" fontId="2" fillId="0" borderId="60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28" fillId="8" borderId="57" xfId="0" applyFont="1" applyFill="1" applyBorder="1" applyAlignment="1" applyProtection="1">
      <alignment horizontal="center" vertical="center"/>
      <protection hidden="1"/>
    </xf>
    <xf numFmtId="0" fontId="28" fillId="8" borderId="8" xfId="0" applyFont="1" applyFill="1" applyBorder="1" applyAlignment="1" applyProtection="1">
      <alignment horizontal="center" vertical="center"/>
      <protection hidden="1"/>
    </xf>
    <xf numFmtId="0" fontId="2" fillId="0" borderId="60" xfId="0" applyFont="1" applyFill="1" applyBorder="1" applyAlignment="1" applyProtection="1">
      <alignment horizontal="center" vertical="center"/>
    </xf>
    <xf numFmtId="0" fontId="2" fillId="0" borderId="40" xfId="0" applyFont="1" applyFill="1" applyBorder="1" applyAlignment="1" applyProtection="1">
      <alignment horizontal="center" vertical="center"/>
    </xf>
    <xf numFmtId="0" fontId="2" fillId="0" borderId="36" xfId="0" applyFont="1" applyBorder="1" applyAlignment="1" applyProtection="1">
      <alignment horizontal="center" vertical="center" wrapText="1"/>
    </xf>
    <xf numFmtId="0" fontId="2" fillId="0" borderId="16" xfId="0" applyFont="1" applyBorder="1" applyAlignment="1" applyProtection="1">
      <alignment horizontal="center" vertical="center" wrapText="1"/>
    </xf>
    <xf numFmtId="0" fontId="12" fillId="0" borderId="61" xfId="0" applyNumberFormat="1" applyFont="1" applyBorder="1" applyAlignment="1" applyProtection="1">
      <alignment horizontal="center" vertical="center" wrapText="1"/>
      <protection hidden="1"/>
    </xf>
    <xf numFmtId="0" fontId="12" fillId="0" borderId="24" xfId="0" applyNumberFormat="1" applyFont="1" applyBorder="1" applyAlignment="1" applyProtection="1">
      <alignment horizontal="center" vertical="center" wrapText="1"/>
      <protection hidden="1"/>
    </xf>
    <xf numFmtId="0" fontId="2" fillId="0" borderId="5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12" fillId="0" borderId="56" xfId="0" applyNumberFormat="1" applyFont="1" applyBorder="1" applyAlignment="1" applyProtection="1">
      <alignment horizontal="center" vertical="center" wrapText="1"/>
      <protection hidden="1"/>
    </xf>
    <xf numFmtId="0" fontId="12" fillId="0" borderId="35" xfId="0" applyNumberFormat="1" applyFont="1" applyBorder="1" applyAlignment="1" applyProtection="1">
      <alignment horizontal="center" vertical="center" wrapText="1"/>
      <protection hidden="1"/>
    </xf>
    <xf numFmtId="0" fontId="12" fillId="0" borderId="52" xfId="0" applyNumberFormat="1" applyFont="1" applyBorder="1" applyAlignment="1" applyProtection="1">
      <alignment horizontal="center" vertical="center" wrapText="1"/>
      <protection hidden="1"/>
    </xf>
    <xf numFmtId="0" fontId="39" fillId="0" borderId="0" xfId="4" applyNumberFormat="1" applyFont="1" applyAlignment="1">
      <alignment horizontal="center"/>
    </xf>
  </cellXfs>
  <cellStyles count="5">
    <cellStyle name="Обычный" xfId="0" builtinId="0"/>
    <cellStyle name="Обычный 2" xfId="1"/>
    <cellStyle name="Обычный_4. Комментарии" xfId="4"/>
    <cellStyle name="Пояснение" xfId="2" builtinId="53" customBuiltin="1"/>
    <cellStyle name="Финансовый" xfId="3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5C"/>
      <rgbColor rgb="00808000"/>
      <rgbColor rgb="00800080"/>
      <rgbColor rgb="00008080"/>
      <rgbColor rgb="00BFBFC0"/>
      <rgbColor rgb="00808080"/>
      <rgbColor rgb="008EB4E3"/>
      <rgbColor rgb="00993366"/>
      <rgbColor rgb="00EBF1DE"/>
      <rgbColor rgb="00DCE6F2"/>
      <rgbColor rgb="00660066"/>
      <rgbColor rgb="00FF8080"/>
      <rgbColor rgb="000066CC"/>
      <rgbColor rgb="00B9CDE5"/>
      <rgbColor rgb="00000080"/>
      <rgbColor rgb="00FF00FF"/>
      <rgbColor rgb="00D9D416"/>
      <rgbColor rgb="0000FFFF"/>
      <rgbColor rgb="00800080"/>
      <rgbColor rgb="00800000"/>
      <rgbColor rgb="00008080"/>
      <rgbColor rgb="000000FF"/>
      <rgbColor rgb="0000B0F0"/>
      <rgbColor rgb="00DFDFE0"/>
      <rgbColor rgb="00CBE4E5"/>
      <rgbColor rgb="00F2DCDB"/>
      <rgbColor rgb="0093CDDD"/>
      <rgbColor rgb="00B7DEE8"/>
      <rgbColor rgb="00ACC8BD"/>
      <rgbColor rgb="00FCD5B5"/>
      <rgbColor rgb="003366FF"/>
      <rgbColor rgb="0033CCCC"/>
      <rgbColor rgb="0092D050"/>
      <rgbColor rgb="00FFC000"/>
      <rgbColor rgb="00FF9900"/>
      <rgbColor rgb="00E46C0A"/>
      <rgbColor rgb="00666699"/>
      <rgbColor rgb="00A0A0A0"/>
      <rgbColor rgb="00003366"/>
      <rgbColor rgb="0000B050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FBFC0"/>
      <color rgb="FFB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889000</xdr:colOff>
      <xdr:row>8</xdr:row>
      <xdr:rowOff>0</xdr:rowOff>
    </xdr:to>
    <xdr:sp macro="" textlink="">
      <xdr:nvSpPr>
        <xdr:cNvPr id="6741" name="shapetype_202" hidden="1">
          <a:extLst>
            <a:ext uri="{FF2B5EF4-FFF2-40B4-BE49-F238E27FC236}">
              <a16:creationId xmlns:a16="http://schemas.microsoft.com/office/drawing/2014/main" xmlns="" id="{E49A53D3-1355-412B-B6C9-36C04AA8A587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8978900" cy="2203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BL462"/>
  <sheetViews>
    <sheetView showGridLines="0" tabSelected="1" topLeftCell="A13" zoomScale="92" zoomScaleNormal="92" workbookViewId="0">
      <pane xSplit="2" topLeftCell="C1" activePane="topRight" state="frozen"/>
      <selection pane="topRight" activeCell="P78" sqref="P78"/>
    </sheetView>
  </sheetViews>
  <sheetFormatPr defaultColWidth="8.5703125" defaultRowHeight="15" outlineLevelRow="1" x14ac:dyDescent="0.25"/>
  <cols>
    <col min="1" max="1" width="46.85546875" customWidth="1"/>
    <col min="2" max="2" width="16.140625" style="17" customWidth="1"/>
    <col min="3" max="37" width="13.140625" customWidth="1"/>
    <col min="38" max="39" width="10.85546875" customWidth="1"/>
    <col min="40" max="40" width="11.140625" customWidth="1"/>
    <col min="41" max="41" width="10.85546875" customWidth="1"/>
    <col min="42" max="42" width="10.42578125" customWidth="1"/>
    <col min="43" max="43" width="8.85546875" customWidth="1"/>
    <col min="44" max="44" width="10.140625" customWidth="1"/>
    <col min="45" max="45" width="8.5703125" customWidth="1"/>
    <col min="46" max="46" width="8.85546875" customWidth="1"/>
    <col min="47" max="49" width="8.5703125" customWidth="1"/>
    <col min="50" max="52" width="8.85546875" customWidth="1"/>
  </cols>
  <sheetData>
    <row r="1" spans="1:11" x14ac:dyDescent="0.25">
      <c r="A1" s="14"/>
      <c r="B1" s="20" t="s">
        <v>10</v>
      </c>
      <c r="C1" s="18"/>
      <c r="D1" s="18"/>
      <c r="E1" s="18"/>
      <c r="F1" s="18"/>
      <c r="G1" s="5"/>
      <c r="H1" s="5"/>
      <c r="I1" s="4"/>
      <c r="J1" s="4"/>
      <c r="K1" s="29"/>
    </row>
    <row r="2" spans="1:11" ht="30" x14ac:dyDescent="0.25">
      <c r="A2" s="21" t="s">
        <v>11</v>
      </c>
      <c r="B2" s="114"/>
      <c r="C2" s="19"/>
      <c r="D2" s="4"/>
      <c r="E2" s="4"/>
      <c r="F2" s="4"/>
    </row>
    <row r="3" spans="1:11" ht="30" x14ac:dyDescent="0.25">
      <c r="A3" s="21" t="s">
        <v>12</v>
      </c>
      <c r="B3" s="141"/>
      <c r="C3" s="19"/>
      <c r="D3" s="19"/>
      <c r="E3" s="19"/>
      <c r="F3" s="19"/>
      <c r="G3" s="4"/>
      <c r="H3" s="4"/>
      <c r="I3" s="4"/>
    </row>
    <row r="4" spans="1:11" ht="30" x14ac:dyDescent="0.25">
      <c r="A4" s="21" t="s">
        <v>14</v>
      </c>
      <c r="B4" s="453"/>
      <c r="C4" s="19"/>
      <c r="D4" s="19"/>
      <c r="E4" s="19"/>
      <c r="F4" s="19"/>
      <c r="G4" s="4"/>
      <c r="H4" s="4"/>
      <c r="I4" s="4"/>
    </row>
    <row r="5" spans="1:11" x14ac:dyDescent="0.25">
      <c r="A5" s="34"/>
      <c r="B5" s="142"/>
      <c r="C5" s="19"/>
      <c r="D5" s="19"/>
      <c r="E5" s="19"/>
      <c r="F5" s="19"/>
      <c r="G5" s="4"/>
      <c r="H5" s="4"/>
      <c r="I5" s="4"/>
    </row>
    <row r="6" spans="1:11" x14ac:dyDescent="0.25">
      <c r="A6" s="154" t="s">
        <v>153</v>
      </c>
      <c r="B6" s="7"/>
      <c r="C6" s="4"/>
      <c r="D6" s="1"/>
      <c r="E6" s="4"/>
      <c r="F6" s="1"/>
      <c r="G6" s="4"/>
      <c r="H6" s="1"/>
      <c r="I6" s="4"/>
    </row>
    <row r="7" spans="1:11" ht="15.75" thickBot="1" x14ac:dyDescent="0.3">
      <c r="A7" s="155" t="s">
        <v>160</v>
      </c>
      <c r="B7" s="16"/>
      <c r="C7" s="4"/>
      <c r="D7" s="4"/>
      <c r="E7" s="4"/>
      <c r="F7" s="4"/>
      <c r="G7" s="4"/>
      <c r="H7" s="4"/>
      <c r="I7" s="4"/>
    </row>
    <row r="8" spans="1:11" ht="15.75" thickBot="1" x14ac:dyDescent="0.3">
      <c r="A8" s="99" t="s">
        <v>13</v>
      </c>
      <c r="B8" s="100" t="s">
        <v>37</v>
      </c>
      <c r="C8" s="478" t="str">
        <f>(YEAR(Test_date)-3)&amp;" год"</f>
        <v>2018 год</v>
      </c>
      <c r="D8" s="479" t="str">
        <f>(LEFT(C8,4)+1)&amp;" год"</f>
        <v>2019 год</v>
      </c>
      <c r="E8" s="479" t="str">
        <f>(LEFT(D8,4)+1)&amp;" год"</f>
        <v>2020 год</v>
      </c>
      <c r="F8" s="479" t="str">
        <f>(LEFT(E8,4)+1)&amp;" год"</f>
        <v>2021 год</v>
      </c>
      <c r="G8" s="479" t="str">
        <f>(LEFT(F8,4)+1)&amp;" год"</f>
        <v>2022 год</v>
      </c>
      <c r="H8" s="479" t="str">
        <f>(LEFT(G8,4)+1)&amp;" год"</f>
        <v>2023 год</v>
      </c>
      <c r="I8" s="4"/>
    </row>
    <row r="9" spans="1:11" x14ac:dyDescent="0.25">
      <c r="A9" s="313" t="s">
        <v>140</v>
      </c>
      <c r="B9" s="314" t="s">
        <v>99</v>
      </c>
      <c r="C9" s="315">
        <f t="shared" ref="C9:H9" si="0">SUM(C10:C12)</f>
        <v>2.2050000000000001</v>
      </c>
      <c r="D9" s="316">
        <f t="shared" si="0"/>
        <v>1.93</v>
      </c>
      <c r="E9" s="317">
        <f t="shared" si="0"/>
        <v>1.71</v>
      </c>
      <c r="F9" s="318">
        <f t="shared" si="0"/>
        <v>2.1430000000000002</v>
      </c>
      <c r="G9" s="316">
        <f t="shared" si="0"/>
        <v>2.1430000000000002</v>
      </c>
      <c r="H9" s="319">
        <f t="shared" si="0"/>
        <v>2.1430000000000002</v>
      </c>
      <c r="I9" s="4"/>
    </row>
    <row r="10" spans="1:11" x14ac:dyDescent="0.25">
      <c r="A10" s="172" t="s">
        <v>108</v>
      </c>
      <c r="B10" s="62" t="s">
        <v>99</v>
      </c>
      <c r="C10" s="133">
        <v>3.5000000000000003E-2</v>
      </c>
      <c r="D10" s="92">
        <v>0.03</v>
      </c>
      <c r="E10" s="136">
        <v>0.01</v>
      </c>
      <c r="F10" s="137">
        <f>E10</f>
        <v>0.01</v>
      </c>
      <c r="G10" s="129">
        <f>F10</f>
        <v>0.01</v>
      </c>
      <c r="H10" s="130">
        <f>G10</f>
        <v>0.01</v>
      </c>
      <c r="I10" s="4"/>
    </row>
    <row r="11" spans="1:11" x14ac:dyDescent="0.25">
      <c r="A11" s="173" t="s">
        <v>109</v>
      </c>
      <c r="B11" s="103" t="s">
        <v>99</v>
      </c>
      <c r="C11" s="134">
        <v>0.18</v>
      </c>
      <c r="D11" s="105">
        <v>0.2</v>
      </c>
      <c r="E11" s="136">
        <v>0.2</v>
      </c>
      <c r="F11" s="138">
        <v>0.20200000000000001</v>
      </c>
      <c r="G11" s="138">
        <v>0.20200000000000001</v>
      </c>
      <c r="H11" s="138">
        <v>0.20200000000000001</v>
      </c>
      <c r="I11" s="4"/>
    </row>
    <row r="12" spans="1:11" ht="15.75" thickBot="1" x14ac:dyDescent="0.3">
      <c r="A12" s="174" t="s">
        <v>110</v>
      </c>
      <c r="B12" s="115" t="s">
        <v>99</v>
      </c>
      <c r="C12" s="135">
        <v>1.99</v>
      </c>
      <c r="D12" s="117">
        <v>1.7</v>
      </c>
      <c r="E12" s="227">
        <v>1.5</v>
      </c>
      <c r="F12" s="139">
        <v>1.931</v>
      </c>
      <c r="G12" s="139">
        <v>1.931</v>
      </c>
      <c r="H12" s="139">
        <v>1.931</v>
      </c>
      <c r="I12" s="4"/>
    </row>
    <row r="13" spans="1:11" x14ac:dyDescent="0.25">
      <c r="A13" s="156"/>
      <c r="B13" s="81"/>
      <c r="C13" s="454"/>
      <c r="D13" s="454"/>
      <c r="E13" s="454"/>
      <c r="F13" s="455"/>
      <c r="G13" s="455"/>
      <c r="H13" s="455"/>
      <c r="I13" s="47"/>
    </row>
    <row r="14" spans="1:11" x14ac:dyDescent="0.25">
      <c r="A14" s="154" t="s">
        <v>15</v>
      </c>
      <c r="B14" s="16"/>
      <c r="C14" s="47"/>
      <c r="D14" s="47"/>
      <c r="E14" s="47"/>
      <c r="F14" s="47"/>
      <c r="G14" s="47"/>
      <c r="H14" s="47"/>
      <c r="I14" s="47"/>
    </row>
    <row r="15" spans="1:11" x14ac:dyDescent="0.25">
      <c r="A15" s="155" t="s">
        <v>143</v>
      </c>
      <c r="B15" s="16"/>
      <c r="C15" s="4"/>
      <c r="D15" s="4"/>
      <c r="E15" s="4"/>
      <c r="F15" s="4"/>
      <c r="G15" s="4"/>
      <c r="H15" s="4"/>
      <c r="I15" s="4"/>
    </row>
    <row r="16" spans="1:11" ht="15.75" thickBot="1" x14ac:dyDescent="0.3">
      <c r="A16" s="155" t="s">
        <v>144</v>
      </c>
      <c r="B16" s="16"/>
      <c r="C16" s="4"/>
      <c r="D16" s="4"/>
      <c r="E16" s="4"/>
      <c r="F16" s="4"/>
      <c r="G16" s="4"/>
      <c r="H16" s="4"/>
      <c r="I16" s="4"/>
    </row>
    <row r="17" spans="1:52" ht="15.75" thickBot="1" x14ac:dyDescent="0.3">
      <c r="A17" s="41" t="s">
        <v>13</v>
      </c>
      <c r="B17" s="44" t="s">
        <v>37</v>
      </c>
      <c r="C17" s="480" t="str">
        <f>YEAR(Test_date)&amp;" год"</f>
        <v>2021 год</v>
      </c>
      <c r="D17" s="481" t="s">
        <v>0</v>
      </c>
      <c r="E17" s="482" t="s">
        <v>1</v>
      </c>
      <c r="F17" s="482" t="s">
        <v>2</v>
      </c>
      <c r="G17" s="483" t="s">
        <v>3</v>
      </c>
      <c r="H17" s="484" t="str">
        <f>(LEFT(C17,4)+1)&amp;" год"</f>
        <v>2022 год</v>
      </c>
      <c r="I17" s="481" t="s">
        <v>0</v>
      </c>
      <c r="J17" s="482" t="s">
        <v>1</v>
      </c>
      <c r="K17" s="482" t="s">
        <v>2</v>
      </c>
      <c r="L17" s="483" t="s">
        <v>3</v>
      </c>
      <c r="M17" s="484" t="str">
        <f>(LEFT(H17,4)+1)&amp;" год"</f>
        <v>2023 год</v>
      </c>
      <c r="N17" s="481" t="s">
        <v>0</v>
      </c>
      <c r="O17" s="482" t="s">
        <v>1</v>
      </c>
      <c r="P17" s="483" t="s">
        <v>2</v>
      </c>
      <c r="Q17" s="485" t="s">
        <v>3</v>
      </c>
    </row>
    <row r="18" spans="1:52" ht="15.75" thickBot="1" x14ac:dyDescent="0.3">
      <c r="A18" s="52" t="s">
        <v>142</v>
      </c>
      <c r="B18" s="43"/>
      <c r="C18" s="43"/>
      <c r="D18" s="40"/>
      <c r="E18" s="40"/>
      <c r="F18" s="40"/>
      <c r="G18" s="40"/>
      <c r="H18" s="39"/>
      <c r="I18" s="40"/>
      <c r="J18" s="40"/>
      <c r="K18" s="40"/>
      <c r="L18" s="40"/>
      <c r="M18" s="39"/>
      <c r="N18" s="40"/>
      <c r="O18" s="40"/>
      <c r="P18" s="40"/>
      <c r="Q18" s="42"/>
    </row>
    <row r="19" spans="1:52" ht="15.75" thickBot="1" x14ac:dyDescent="0.3">
      <c r="A19" s="175" t="s">
        <v>140</v>
      </c>
      <c r="B19" s="69" t="s">
        <v>135</v>
      </c>
      <c r="C19" s="70">
        <f>SUM(D19:G19)</f>
        <v>0</v>
      </c>
      <c r="D19" s="366">
        <v>0</v>
      </c>
      <c r="E19" s="366">
        <v>0</v>
      </c>
      <c r="F19" s="366">
        <v>0</v>
      </c>
      <c r="G19" s="366">
        <v>0</v>
      </c>
      <c r="H19" s="71">
        <f>SUM(I19:L19)</f>
        <v>0</v>
      </c>
      <c r="I19" s="366">
        <v>0</v>
      </c>
      <c r="J19" s="366">
        <v>0</v>
      </c>
      <c r="K19" s="366">
        <v>0</v>
      </c>
      <c r="L19" s="366">
        <v>0</v>
      </c>
      <c r="M19" s="71">
        <f>SUM(N19:Q19)</f>
        <v>0</v>
      </c>
      <c r="N19" s="366">
        <v>0</v>
      </c>
      <c r="O19" s="366">
        <v>0</v>
      </c>
      <c r="P19" s="366">
        <v>0</v>
      </c>
      <c r="Q19" s="367">
        <v>0</v>
      </c>
      <c r="AY19" t="s">
        <v>58</v>
      </c>
      <c r="AZ19">
        <v>59</v>
      </c>
    </row>
    <row r="20" spans="1:52" s="10" customFormat="1" x14ac:dyDescent="0.25">
      <c r="A20" s="22"/>
      <c r="B20" s="23"/>
      <c r="C20" s="24"/>
      <c r="D20" s="25"/>
      <c r="E20" s="25"/>
      <c r="F20" s="25"/>
      <c r="G20" s="25"/>
      <c r="H20" s="24"/>
      <c r="I20" s="25"/>
      <c r="J20" s="25"/>
      <c r="K20" s="25"/>
      <c r="L20" s="25"/>
      <c r="M20" s="24"/>
      <c r="N20" s="25"/>
      <c r="O20" s="25"/>
      <c r="P20" s="25"/>
      <c r="Q20" s="25"/>
      <c r="R20" s="26"/>
      <c r="S20" s="26"/>
      <c r="T20" s="26"/>
      <c r="U20" s="26"/>
      <c r="V20" s="26"/>
      <c r="W20" s="26"/>
      <c r="X20" s="26"/>
      <c r="Y20" s="26"/>
      <c r="Z20" s="26"/>
      <c r="AA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Z20"/>
    </row>
    <row r="21" spans="1:52" s="10" customFormat="1" x14ac:dyDescent="0.25">
      <c r="A21" s="154" t="s">
        <v>55</v>
      </c>
      <c r="B21" s="23"/>
      <c r="C21" s="24"/>
      <c r="D21" s="25"/>
      <c r="E21" s="25"/>
      <c r="F21" s="25"/>
      <c r="G21" s="25"/>
      <c r="H21" s="24"/>
      <c r="I21" s="25"/>
      <c r="J21" s="25"/>
      <c r="K21" s="25"/>
      <c r="L21" s="25"/>
      <c r="M21" s="24"/>
      <c r="N21" s="25"/>
      <c r="O21" s="25"/>
      <c r="P21" s="25"/>
      <c r="Q21" s="25"/>
      <c r="R21" s="26"/>
      <c r="S21" s="26"/>
      <c r="T21" s="26"/>
      <c r="U21" s="26"/>
      <c r="V21" s="26"/>
      <c r="W21" s="26"/>
      <c r="X21" s="26"/>
      <c r="Y21" s="26"/>
      <c r="Z21" s="26"/>
      <c r="AA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Z21"/>
    </row>
    <row r="22" spans="1:52" ht="15.75" thickBot="1" x14ac:dyDescent="0.3">
      <c r="A22" s="155" t="s">
        <v>56</v>
      </c>
      <c r="B22" s="16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52" s="17" customFormat="1" ht="14.45" customHeight="1" x14ac:dyDescent="0.25">
      <c r="A23" s="535" t="s">
        <v>16</v>
      </c>
      <c r="B23" s="540" t="s">
        <v>37</v>
      </c>
      <c r="C23" s="547" t="str">
        <f>(YEAR(Test_date)-3)&amp;" год"</f>
        <v>2018 год</v>
      </c>
      <c r="D23" s="546" t="str">
        <f>C23</f>
        <v>2018 год</v>
      </c>
      <c r="E23" s="526"/>
      <c r="F23" s="526"/>
      <c r="G23" s="544"/>
      <c r="H23" s="523" t="str">
        <f>(LEFT(C23,4)+1)&amp;" год"</f>
        <v>2019 год</v>
      </c>
      <c r="I23" s="546" t="str">
        <f>H23</f>
        <v>2019 год</v>
      </c>
      <c r="J23" s="526"/>
      <c r="K23" s="526"/>
      <c r="L23" s="544"/>
      <c r="M23" s="523" t="str">
        <f>(LEFT(H23,4)+1)&amp;" год"</f>
        <v>2020 год</v>
      </c>
      <c r="N23" s="546" t="str">
        <f>M23</f>
        <v>2020 год</v>
      </c>
      <c r="O23" s="526"/>
      <c r="P23" s="526"/>
      <c r="Q23" s="544"/>
    </row>
    <row r="24" spans="1:52" s="17" customFormat="1" ht="15.75" thickBot="1" x14ac:dyDescent="0.3">
      <c r="A24" s="536"/>
      <c r="B24" s="541"/>
      <c r="C24" s="548"/>
      <c r="D24" s="486" t="s">
        <v>0</v>
      </c>
      <c r="E24" s="476" t="s">
        <v>1</v>
      </c>
      <c r="F24" s="476" t="s">
        <v>2</v>
      </c>
      <c r="G24" s="487" t="s">
        <v>3</v>
      </c>
      <c r="H24" s="545"/>
      <c r="I24" s="486" t="s">
        <v>0</v>
      </c>
      <c r="J24" s="476" t="s">
        <v>1</v>
      </c>
      <c r="K24" s="476" t="s">
        <v>2</v>
      </c>
      <c r="L24" s="487" t="s">
        <v>3</v>
      </c>
      <c r="M24" s="545"/>
      <c r="N24" s="486" t="s">
        <v>0</v>
      </c>
      <c r="O24" s="476" t="s">
        <v>1</v>
      </c>
      <c r="P24" s="476" t="s">
        <v>2</v>
      </c>
      <c r="Q24" s="487" t="s">
        <v>3</v>
      </c>
    </row>
    <row r="25" spans="1:52" x14ac:dyDescent="0.25">
      <c r="A25" s="145" t="s">
        <v>4</v>
      </c>
      <c r="B25" s="131" t="s">
        <v>135</v>
      </c>
      <c r="C25" s="38">
        <f>D25</f>
        <v>5.5</v>
      </c>
      <c r="D25" s="65">
        <v>5.5</v>
      </c>
      <c r="E25" s="160">
        <f>D33</f>
        <v>4.7</v>
      </c>
      <c r="F25" s="160">
        <f>E33</f>
        <v>1.137</v>
      </c>
      <c r="G25" s="161">
        <f>F33</f>
        <v>4.4000000000000004</v>
      </c>
      <c r="H25" s="120">
        <f>I25</f>
        <v>4</v>
      </c>
      <c r="I25" s="165">
        <f>G33</f>
        <v>4</v>
      </c>
      <c r="J25" s="166">
        <f>I33</f>
        <v>3.653</v>
      </c>
      <c r="K25" s="166">
        <f>J33</f>
        <v>1.6739999999999999</v>
      </c>
      <c r="L25" s="167">
        <f>K33</f>
        <v>0.8</v>
      </c>
      <c r="M25" s="120">
        <f>N25</f>
        <v>3.2</v>
      </c>
      <c r="N25" s="168">
        <f>L33</f>
        <v>3.2</v>
      </c>
      <c r="O25" s="169">
        <f>N33</f>
        <v>2.9430000000000001</v>
      </c>
      <c r="P25" s="169">
        <f>O33</f>
        <v>1.581</v>
      </c>
      <c r="Q25" s="170">
        <f>P33</f>
        <v>2.2000000000000002</v>
      </c>
      <c r="R25" s="4"/>
      <c r="S25" s="4"/>
      <c r="T25" s="4"/>
      <c r="U25" s="4"/>
      <c r="V25" s="4"/>
      <c r="W25" s="4"/>
    </row>
    <row r="26" spans="1:52" x14ac:dyDescent="0.25">
      <c r="A26" s="146" t="s">
        <v>7</v>
      </c>
      <c r="B26" s="126" t="s">
        <v>135</v>
      </c>
      <c r="C26" s="36">
        <f>SUM(D26:G26)</f>
        <v>19.899999999999999</v>
      </c>
      <c r="D26" s="104">
        <v>0</v>
      </c>
      <c r="E26" s="105">
        <v>4.6870000000000003</v>
      </c>
      <c r="F26" s="105">
        <v>15.212999999999999</v>
      </c>
      <c r="G26" s="106">
        <v>0</v>
      </c>
      <c r="H26" s="121">
        <f>SUM(I26:L26)</f>
        <v>17.899999999999999</v>
      </c>
      <c r="I26" s="104">
        <v>0</v>
      </c>
      <c r="J26" s="105">
        <v>3.153</v>
      </c>
      <c r="K26" s="105">
        <v>14.747</v>
      </c>
      <c r="L26" s="106">
        <v>0</v>
      </c>
      <c r="M26" s="121">
        <f>SUM(N26:Q26)</f>
        <v>17.3</v>
      </c>
      <c r="N26" s="104">
        <v>0</v>
      </c>
      <c r="O26" s="105">
        <v>0</v>
      </c>
      <c r="P26" s="105">
        <v>17.3</v>
      </c>
      <c r="Q26" s="106">
        <v>0</v>
      </c>
    </row>
    <row r="27" spans="1:52" x14ac:dyDescent="0.25">
      <c r="A27" s="146" t="s">
        <v>17</v>
      </c>
      <c r="B27" s="126" t="s">
        <v>135</v>
      </c>
      <c r="C27" s="36">
        <f>SUM(D27:G27)</f>
        <v>51.900000000000006</v>
      </c>
      <c r="D27" s="104">
        <v>12.5</v>
      </c>
      <c r="E27" s="105">
        <v>13.5</v>
      </c>
      <c r="F27" s="105">
        <v>11.6</v>
      </c>
      <c r="G27" s="106">
        <v>14.3</v>
      </c>
      <c r="H27" s="121">
        <f>SUM(I27:L27)</f>
        <v>53.7</v>
      </c>
      <c r="I27" s="104">
        <v>13</v>
      </c>
      <c r="J27" s="105">
        <v>16.5</v>
      </c>
      <c r="K27" s="105">
        <v>11.6</v>
      </c>
      <c r="L27" s="106">
        <v>12.6</v>
      </c>
      <c r="M27" s="121">
        <f>SUM(N27:Q27)</f>
        <v>53.699999999999996</v>
      </c>
      <c r="N27" s="104">
        <v>13</v>
      </c>
      <c r="O27" s="105">
        <v>20.3</v>
      </c>
      <c r="P27" s="105">
        <v>9.4</v>
      </c>
      <c r="Q27" s="106">
        <v>11</v>
      </c>
    </row>
    <row r="28" spans="1:52" x14ac:dyDescent="0.25">
      <c r="A28" s="146" t="s">
        <v>18</v>
      </c>
      <c r="B28" s="126" t="s">
        <v>135</v>
      </c>
      <c r="C28" s="36">
        <f t="shared" ref="C28:Q28" si="1">C25+C26+C27</f>
        <v>77.300000000000011</v>
      </c>
      <c r="D28" s="162">
        <f t="shared" si="1"/>
        <v>18</v>
      </c>
      <c r="E28" s="163">
        <f t="shared" si="1"/>
        <v>22.887</v>
      </c>
      <c r="F28" s="163">
        <f t="shared" si="1"/>
        <v>27.949999999999996</v>
      </c>
      <c r="G28" s="164">
        <f t="shared" si="1"/>
        <v>18.700000000000003</v>
      </c>
      <c r="H28" s="121">
        <f t="shared" si="1"/>
        <v>75.599999999999994</v>
      </c>
      <c r="I28" s="162">
        <f t="shared" si="1"/>
        <v>17</v>
      </c>
      <c r="J28" s="163">
        <f t="shared" si="1"/>
        <v>23.306000000000001</v>
      </c>
      <c r="K28" s="163">
        <f t="shared" si="1"/>
        <v>28.021000000000001</v>
      </c>
      <c r="L28" s="164">
        <f t="shared" si="1"/>
        <v>13.4</v>
      </c>
      <c r="M28" s="121">
        <f t="shared" si="1"/>
        <v>74.199999999999989</v>
      </c>
      <c r="N28" s="162">
        <f t="shared" si="1"/>
        <v>16.2</v>
      </c>
      <c r="O28" s="163">
        <f t="shared" si="1"/>
        <v>23.243000000000002</v>
      </c>
      <c r="P28" s="163">
        <f t="shared" si="1"/>
        <v>28.280999999999999</v>
      </c>
      <c r="Q28" s="164">
        <f t="shared" si="1"/>
        <v>13.2</v>
      </c>
    </row>
    <row r="29" spans="1:52" x14ac:dyDescent="0.25">
      <c r="A29" s="146" t="s">
        <v>97</v>
      </c>
      <c r="B29" s="126" t="s">
        <v>135</v>
      </c>
      <c r="C29" s="36">
        <f>SUM(D29:G29)</f>
        <v>0.5</v>
      </c>
      <c r="D29" s="104">
        <v>0</v>
      </c>
      <c r="E29" s="105">
        <v>0.25</v>
      </c>
      <c r="F29" s="105">
        <v>0.25</v>
      </c>
      <c r="G29" s="106">
        <v>0</v>
      </c>
      <c r="H29" s="121">
        <f>SUM(I29:L29)</f>
        <v>0.30000000000000004</v>
      </c>
      <c r="I29" s="104">
        <v>0</v>
      </c>
      <c r="J29" s="105">
        <v>0.2</v>
      </c>
      <c r="K29" s="105">
        <v>0.1</v>
      </c>
      <c r="L29" s="106">
        <v>0</v>
      </c>
      <c r="M29" s="121">
        <f>SUM(N29:Q29)</f>
        <v>0.30000000000000004</v>
      </c>
      <c r="N29" s="104">
        <v>0</v>
      </c>
      <c r="O29" s="105">
        <v>0.23</v>
      </c>
      <c r="P29" s="105">
        <v>7.0000000000000007E-2</v>
      </c>
      <c r="Q29" s="106">
        <v>0</v>
      </c>
    </row>
    <row r="30" spans="1:52" x14ac:dyDescent="0.25">
      <c r="A30" s="146" t="s">
        <v>5</v>
      </c>
      <c r="B30" s="126" t="s">
        <v>135</v>
      </c>
      <c r="C30" s="36">
        <f>SUM(D30:G30)</f>
        <v>0.2</v>
      </c>
      <c r="D30" s="104">
        <v>0</v>
      </c>
      <c r="E30" s="105">
        <v>0</v>
      </c>
      <c r="F30" s="105">
        <v>0.2</v>
      </c>
      <c r="G30" s="106">
        <v>0</v>
      </c>
      <c r="H30" s="121">
        <f>SUM(I30:L30)</f>
        <v>0.2</v>
      </c>
      <c r="I30" s="104">
        <v>0</v>
      </c>
      <c r="J30" s="105">
        <v>0</v>
      </c>
      <c r="K30" s="105">
        <v>0.2</v>
      </c>
      <c r="L30" s="106">
        <v>0</v>
      </c>
      <c r="M30" s="121">
        <f>SUM(N30:Q30)</f>
        <v>0.2</v>
      </c>
      <c r="N30" s="104">
        <v>0</v>
      </c>
      <c r="O30" s="105">
        <v>0</v>
      </c>
      <c r="P30" s="105">
        <v>0.2</v>
      </c>
      <c r="Q30" s="106">
        <v>0</v>
      </c>
    </row>
    <row r="31" spans="1:52" x14ac:dyDescent="0.25">
      <c r="A31" s="146" t="s">
        <v>19</v>
      </c>
      <c r="B31" s="126" t="s">
        <v>135</v>
      </c>
      <c r="C31" s="38">
        <f>SUM(D31:G31)</f>
        <v>2.5</v>
      </c>
      <c r="D31" s="104">
        <v>0.3</v>
      </c>
      <c r="E31" s="105">
        <v>0.7</v>
      </c>
      <c r="F31" s="105">
        <v>1.3</v>
      </c>
      <c r="G31" s="106">
        <v>0.2</v>
      </c>
      <c r="H31" s="121">
        <f>SUM(I31:L31)</f>
        <v>2.2000000000000002</v>
      </c>
      <c r="I31" s="104">
        <v>0.3</v>
      </c>
      <c r="J31" s="105">
        <v>0.7</v>
      </c>
      <c r="K31" s="105">
        <v>0.5</v>
      </c>
      <c r="L31" s="106">
        <v>0.7</v>
      </c>
      <c r="M31" s="121">
        <f>SUM(N31:Q31)</f>
        <v>2.2000000000000002</v>
      </c>
      <c r="N31" s="104">
        <v>0.3</v>
      </c>
      <c r="O31" s="105">
        <v>0.7</v>
      </c>
      <c r="P31" s="105">
        <v>0.5</v>
      </c>
      <c r="Q31" s="106">
        <v>0.7</v>
      </c>
    </row>
    <row r="32" spans="1:52" x14ac:dyDescent="0.25">
      <c r="A32" s="146" t="s">
        <v>6</v>
      </c>
      <c r="B32" s="126" t="s">
        <v>135</v>
      </c>
      <c r="C32" s="36">
        <f>SUM(D32:G32)</f>
        <v>70.099999999999994</v>
      </c>
      <c r="D32" s="104">
        <v>13</v>
      </c>
      <c r="E32" s="105">
        <v>20.8</v>
      </c>
      <c r="F32" s="105">
        <v>21.8</v>
      </c>
      <c r="G32" s="106">
        <v>14.5</v>
      </c>
      <c r="H32" s="121">
        <f>SUM(I32:L32)</f>
        <v>69.699999999999989</v>
      </c>
      <c r="I32" s="104">
        <v>13.047000000000001</v>
      </c>
      <c r="J32" s="105">
        <v>20.731999999999999</v>
      </c>
      <c r="K32" s="105">
        <v>26.420999999999999</v>
      </c>
      <c r="L32" s="106">
        <v>9.5</v>
      </c>
      <c r="M32" s="121">
        <f>SUM(N32:Q32)</f>
        <v>68.5</v>
      </c>
      <c r="N32" s="104">
        <v>12.957000000000001</v>
      </c>
      <c r="O32" s="105">
        <v>20.731999999999999</v>
      </c>
      <c r="P32" s="105">
        <v>25.311</v>
      </c>
      <c r="Q32" s="106">
        <v>9.5</v>
      </c>
    </row>
    <row r="33" spans="1:64" ht="15.75" thickBot="1" x14ac:dyDescent="0.3">
      <c r="A33" s="147" t="s">
        <v>8</v>
      </c>
      <c r="B33" s="171" t="s">
        <v>135</v>
      </c>
      <c r="C33" s="37">
        <f>G33</f>
        <v>4</v>
      </c>
      <c r="D33" s="116">
        <v>4.7</v>
      </c>
      <c r="E33" s="117">
        <v>1.137</v>
      </c>
      <c r="F33" s="117">
        <v>4.4000000000000004</v>
      </c>
      <c r="G33" s="118">
        <v>4</v>
      </c>
      <c r="H33" s="123">
        <f>L33</f>
        <v>3.2</v>
      </c>
      <c r="I33" s="116">
        <v>3.653</v>
      </c>
      <c r="J33" s="117">
        <v>1.6739999999999999</v>
      </c>
      <c r="K33" s="117">
        <v>0.8</v>
      </c>
      <c r="L33" s="118">
        <v>3.2</v>
      </c>
      <c r="M33" s="123">
        <f>Q33</f>
        <v>3</v>
      </c>
      <c r="N33" s="116">
        <v>2.9430000000000001</v>
      </c>
      <c r="O33" s="117">
        <v>1.581</v>
      </c>
      <c r="P33" s="117">
        <v>2.2000000000000002</v>
      </c>
      <c r="Q33" s="118">
        <v>3</v>
      </c>
      <c r="R33" s="4"/>
      <c r="S33" s="4"/>
      <c r="T33" s="4"/>
      <c r="U33" s="4"/>
      <c r="V33" s="4"/>
      <c r="W33" s="4"/>
      <c r="Y33" s="4"/>
      <c r="Z33" s="4"/>
      <c r="AA33" s="4"/>
      <c r="AB33" s="4"/>
      <c r="AD33" s="4"/>
      <c r="AE33" s="4"/>
      <c r="AF33" s="4"/>
      <c r="AG33" s="4"/>
      <c r="AI33" s="4"/>
      <c r="AJ33" s="4"/>
      <c r="AK33" s="4"/>
      <c r="AL33" s="4"/>
    </row>
    <row r="34" spans="1:64" ht="15.75" thickBot="1" x14ac:dyDescent="0.3">
      <c r="A34" s="64"/>
      <c r="B34" s="122"/>
      <c r="C34" s="64"/>
      <c r="D34" s="64"/>
      <c r="E34" s="14"/>
      <c r="F34" s="14"/>
      <c r="G34" s="14"/>
      <c r="H34" s="46"/>
      <c r="I34" s="14"/>
      <c r="J34" s="14"/>
      <c r="K34" s="14"/>
      <c r="L34" s="14"/>
      <c r="M34" s="14"/>
      <c r="N34" s="14"/>
      <c r="O34" s="14"/>
      <c r="P34" s="14"/>
      <c r="Q34" s="14"/>
      <c r="R34" s="14"/>
      <c r="Y34" s="2"/>
      <c r="Z34" s="2"/>
    </row>
    <row r="35" spans="1:64" s="108" customFormat="1" ht="57.75" thickBot="1" x14ac:dyDescent="0.3">
      <c r="A35" s="176" t="s">
        <v>150</v>
      </c>
      <c r="B35" s="359" t="s">
        <v>135</v>
      </c>
      <c r="C35" s="350">
        <f>C28-(C29+C30+C31+C32)-C33</f>
        <v>1.4210854715202004E-14</v>
      </c>
      <c r="D35" s="351">
        <f t="shared" ref="D35:Q35" si="2">D28-(D29+D30+D31+D32)-D33</f>
        <v>0</v>
      </c>
      <c r="E35" s="352">
        <f t="shared" si="2"/>
        <v>0</v>
      </c>
      <c r="F35" s="352">
        <f t="shared" si="2"/>
        <v>0</v>
      </c>
      <c r="G35" s="353">
        <f t="shared" si="2"/>
        <v>0</v>
      </c>
      <c r="H35" s="354">
        <f t="shared" si="2"/>
        <v>0</v>
      </c>
      <c r="I35" s="351">
        <f t="shared" si="2"/>
        <v>0</v>
      </c>
      <c r="J35" s="352">
        <f t="shared" si="2"/>
        <v>3.1086244689504383E-15</v>
      </c>
      <c r="K35" s="352">
        <f t="shared" si="2"/>
        <v>0</v>
      </c>
      <c r="L35" s="353">
        <f t="shared" si="2"/>
        <v>0</v>
      </c>
      <c r="M35" s="354">
        <f t="shared" si="2"/>
        <v>-1.4210854715202004E-14</v>
      </c>
      <c r="N35" s="351">
        <f t="shared" si="2"/>
        <v>0</v>
      </c>
      <c r="O35" s="352">
        <f t="shared" si="2"/>
        <v>3.1086244689504383E-15</v>
      </c>
      <c r="P35" s="352">
        <f t="shared" si="2"/>
        <v>0</v>
      </c>
      <c r="Q35" s="355">
        <f t="shared" si="2"/>
        <v>0</v>
      </c>
      <c r="Y35" s="320"/>
      <c r="Z35" s="320"/>
    </row>
    <row r="36" spans="1:64" s="108" customFormat="1" ht="15.75" thickBot="1" x14ac:dyDescent="0.3">
      <c r="B36" s="81"/>
      <c r="H36" s="320"/>
      <c r="Y36" s="320"/>
      <c r="Z36" s="320"/>
    </row>
    <row r="37" spans="1:64" s="108" customFormat="1" ht="43.5" thickBot="1" x14ac:dyDescent="0.3">
      <c r="A37" s="176" t="s">
        <v>151</v>
      </c>
      <c r="B37" s="177"/>
      <c r="C37" s="193" t="str">
        <f>IF(SUM(C26:C33)&gt;0,"Проверка пройдена","Заполните данные в балансе")</f>
        <v>Проверка пройдена</v>
      </c>
      <c r="D37" s="192" t="str">
        <f t="shared" ref="D37:Q37" si="3">IF(SUM(D26:D33)&gt;0,"Проверка пройдена","Заполните данные в балансе")</f>
        <v>Проверка пройдена</v>
      </c>
      <c r="E37" s="189" t="str">
        <f t="shared" si="3"/>
        <v>Проверка пройдена</v>
      </c>
      <c r="F37" s="189" t="str">
        <f t="shared" si="3"/>
        <v>Проверка пройдена</v>
      </c>
      <c r="G37" s="191" t="str">
        <f t="shared" si="3"/>
        <v>Проверка пройдена</v>
      </c>
      <c r="H37" s="193" t="str">
        <f t="shared" si="3"/>
        <v>Проверка пройдена</v>
      </c>
      <c r="I37" s="192" t="str">
        <f t="shared" si="3"/>
        <v>Проверка пройдена</v>
      </c>
      <c r="J37" s="189" t="str">
        <f t="shared" si="3"/>
        <v>Проверка пройдена</v>
      </c>
      <c r="K37" s="189" t="str">
        <f t="shared" si="3"/>
        <v>Проверка пройдена</v>
      </c>
      <c r="L37" s="191" t="str">
        <f t="shared" si="3"/>
        <v>Проверка пройдена</v>
      </c>
      <c r="M37" s="193" t="str">
        <f t="shared" si="3"/>
        <v>Проверка пройдена</v>
      </c>
      <c r="N37" s="192" t="str">
        <f t="shared" si="3"/>
        <v>Проверка пройдена</v>
      </c>
      <c r="O37" s="189" t="str">
        <f t="shared" si="3"/>
        <v>Проверка пройдена</v>
      </c>
      <c r="P37" s="189" t="str">
        <f t="shared" si="3"/>
        <v>Проверка пройдена</v>
      </c>
      <c r="Q37" s="190" t="str">
        <f t="shared" si="3"/>
        <v>Проверка пройдена</v>
      </c>
      <c r="Y37" s="320"/>
      <c r="Z37" s="320"/>
    </row>
    <row r="38" spans="1:64" x14ac:dyDescent="0.25">
      <c r="D38" s="2"/>
      <c r="H38" s="2"/>
      <c r="Y38" s="2"/>
      <c r="Z38" s="2"/>
    </row>
    <row r="40" spans="1:64" x14ac:dyDescent="0.25">
      <c r="A40" s="154" t="s">
        <v>20</v>
      </c>
      <c r="B40" s="16"/>
      <c r="C40" s="4"/>
      <c r="D40" s="4"/>
      <c r="E40" s="4"/>
      <c r="F40" s="4"/>
      <c r="G40" s="4"/>
      <c r="H40" s="6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U40" s="4"/>
      <c r="AV40" s="4"/>
      <c r="AW40" s="4"/>
    </row>
    <row r="41" spans="1:64" x14ac:dyDescent="0.25">
      <c r="A41" s="155" t="s">
        <v>146</v>
      </c>
      <c r="B41" s="16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</row>
    <row r="42" spans="1:64" ht="15.75" thickBot="1" x14ac:dyDescent="0.3">
      <c r="A42" s="155" t="s">
        <v>147</v>
      </c>
      <c r="B42" s="16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</row>
    <row r="43" spans="1:64" ht="14.45" customHeight="1" x14ac:dyDescent="0.25">
      <c r="A43" s="535" t="s">
        <v>16</v>
      </c>
      <c r="B43" s="540" t="s">
        <v>37</v>
      </c>
      <c r="C43" s="520" t="str">
        <f>(YEAR(Test_date)-7)&amp;" год"</f>
        <v>2014 год</v>
      </c>
      <c r="D43" s="525" t="str">
        <f>C43</f>
        <v>2014 год</v>
      </c>
      <c r="E43" s="526"/>
      <c r="F43" s="526"/>
      <c r="G43" s="527"/>
      <c r="H43" s="520" t="str">
        <f>(LEFT(C43,4)+1)&amp;" год"</f>
        <v>2015 год</v>
      </c>
      <c r="I43" s="525" t="str">
        <f>H43</f>
        <v>2015 год</v>
      </c>
      <c r="J43" s="526"/>
      <c r="K43" s="526"/>
      <c r="L43" s="527"/>
      <c r="M43" s="520" t="str">
        <f>(LEFT(H43,4)+1)&amp;" год"</f>
        <v>2016 год</v>
      </c>
      <c r="N43" s="525" t="str">
        <f>M43</f>
        <v>2016 год</v>
      </c>
      <c r="O43" s="526"/>
      <c r="P43" s="526"/>
      <c r="Q43" s="527"/>
      <c r="R43" s="520" t="str">
        <f>(LEFT(M43,4)+1)&amp;" год"</f>
        <v>2017 год</v>
      </c>
      <c r="S43" s="525" t="str">
        <f>R43</f>
        <v>2017 год</v>
      </c>
      <c r="T43" s="526"/>
      <c r="U43" s="526"/>
      <c r="V43" s="527"/>
      <c r="W43" s="520" t="str">
        <f>(LEFT(R43,4)+1)&amp;" год"</f>
        <v>2018 год</v>
      </c>
      <c r="X43" s="525" t="str">
        <f>W43</f>
        <v>2018 год</v>
      </c>
      <c r="Y43" s="526"/>
      <c r="Z43" s="526"/>
      <c r="AA43" s="527"/>
      <c r="AB43" s="520" t="str">
        <f>(LEFT(W43,4)+1)&amp;" год"</f>
        <v>2019 год</v>
      </c>
      <c r="AC43" s="525" t="str">
        <f>AB43</f>
        <v>2019 год</v>
      </c>
      <c r="AD43" s="526"/>
      <c r="AE43" s="526"/>
      <c r="AF43" s="527"/>
      <c r="AG43" s="520" t="str">
        <f>(LEFT(AB43,4)+1)&amp;" год"</f>
        <v>2020 год</v>
      </c>
      <c r="AH43" s="522" t="str">
        <f>AG43</f>
        <v>2020 год</v>
      </c>
      <c r="AI43" s="523"/>
      <c r="AJ43" s="523"/>
      <c r="AK43" s="524"/>
      <c r="AL43" s="4"/>
      <c r="AM43" s="4"/>
      <c r="AT43" s="6"/>
      <c r="AU43" s="6"/>
      <c r="AV43" s="6"/>
      <c r="AW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</row>
    <row r="44" spans="1:64" ht="15.75" thickBot="1" x14ac:dyDescent="0.3">
      <c r="A44" s="536"/>
      <c r="B44" s="541"/>
      <c r="C44" s="521"/>
      <c r="D44" s="486" t="s">
        <v>0</v>
      </c>
      <c r="E44" s="476" t="s">
        <v>1</v>
      </c>
      <c r="F44" s="476" t="s">
        <v>2</v>
      </c>
      <c r="G44" s="477" t="s">
        <v>3</v>
      </c>
      <c r="H44" s="521"/>
      <c r="I44" s="475" t="s">
        <v>0</v>
      </c>
      <c r="J44" s="476" t="s">
        <v>1</v>
      </c>
      <c r="K44" s="476" t="s">
        <v>2</v>
      </c>
      <c r="L44" s="477" t="s">
        <v>3</v>
      </c>
      <c r="M44" s="521"/>
      <c r="N44" s="475" t="s">
        <v>0</v>
      </c>
      <c r="O44" s="476" t="s">
        <v>1</v>
      </c>
      <c r="P44" s="476" t="s">
        <v>2</v>
      </c>
      <c r="Q44" s="477" t="s">
        <v>3</v>
      </c>
      <c r="R44" s="521"/>
      <c r="S44" s="475" t="s">
        <v>0</v>
      </c>
      <c r="T44" s="476" t="s">
        <v>1</v>
      </c>
      <c r="U44" s="476" t="s">
        <v>2</v>
      </c>
      <c r="V44" s="487" t="s">
        <v>3</v>
      </c>
      <c r="W44" s="521"/>
      <c r="X44" s="475" t="s">
        <v>0</v>
      </c>
      <c r="Y44" s="476" t="s">
        <v>1</v>
      </c>
      <c r="Z44" s="476" t="s">
        <v>2</v>
      </c>
      <c r="AA44" s="477" t="s">
        <v>3</v>
      </c>
      <c r="AB44" s="521"/>
      <c r="AC44" s="475" t="s">
        <v>0</v>
      </c>
      <c r="AD44" s="476" t="s">
        <v>1</v>
      </c>
      <c r="AE44" s="476" t="s">
        <v>2</v>
      </c>
      <c r="AF44" s="477" t="s">
        <v>3</v>
      </c>
      <c r="AG44" s="521"/>
      <c r="AH44" s="486" t="s">
        <v>0</v>
      </c>
      <c r="AI44" s="476" t="s">
        <v>1</v>
      </c>
      <c r="AJ44" s="476" t="s">
        <v>2</v>
      </c>
      <c r="AK44" s="487" t="s">
        <v>3</v>
      </c>
      <c r="AL44" s="4"/>
      <c r="AM44" s="4"/>
      <c r="AT44" s="6"/>
      <c r="AU44" s="6"/>
      <c r="AV44" s="6"/>
      <c r="AW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</row>
    <row r="45" spans="1:64" s="48" customFormat="1" ht="15.75" thickBot="1" x14ac:dyDescent="0.3">
      <c r="A45" s="148" t="s">
        <v>8</v>
      </c>
      <c r="B45" s="68" t="s">
        <v>135</v>
      </c>
      <c r="C45" s="50">
        <f>G45</f>
        <v>5.6</v>
      </c>
      <c r="D45" s="116">
        <v>5.7</v>
      </c>
      <c r="E45" s="117">
        <v>1.5</v>
      </c>
      <c r="F45" s="117">
        <v>3.5</v>
      </c>
      <c r="G45" s="117">
        <v>5.6</v>
      </c>
      <c r="H45" s="51">
        <f>L45</f>
        <v>5.5</v>
      </c>
      <c r="I45" s="117">
        <v>4.0999999999999996</v>
      </c>
      <c r="J45" s="117">
        <v>6.6</v>
      </c>
      <c r="K45" s="117">
        <v>8.1999999999999993</v>
      </c>
      <c r="L45" s="117">
        <v>5.5</v>
      </c>
      <c r="M45" s="51">
        <f>Q45</f>
        <v>5.7</v>
      </c>
      <c r="N45" s="117">
        <v>5.2</v>
      </c>
      <c r="O45" s="117">
        <v>5.9</v>
      </c>
      <c r="P45" s="117">
        <v>7.6</v>
      </c>
      <c r="Q45" s="117">
        <v>5.7</v>
      </c>
      <c r="R45" s="51">
        <f>V45</f>
        <v>5.5</v>
      </c>
      <c r="S45" s="117">
        <v>5.4</v>
      </c>
      <c r="T45" s="117">
        <v>4.5999999999999996</v>
      </c>
      <c r="U45" s="117">
        <v>7.4</v>
      </c>
      <c r="V45" s="118">
        <v>5.5</v>
      </c>
      <c r="W45" s="51">
        <f>AA45</f>
        <v>4</v>
      </c>
      <c r="X45" s="321">
        <f>D33</f>
        <v>4.7</v>
      </c>
      <c r="Y45" s="321">
        <f>E33</f>
        <v>1.137</v>
      </c>
      <c r="Z45" s="321">
        <f>F33</f>
        <v>4.4000000000000004</v>
      </c>
      <c r="AA45" s="321">
        <f>G33</f>
        <v>4</v>
      </c>
      <c r="AB45" s="51">
        <f>AF45</f>
        <v>3.2</v>
      </c>
      <c r="AC45" s="321">
        <f>I33</f>
        <v>3.653</v>
      </c>
      <c r="AD45" s="321">
        <f>J33</f>
        <v>1.6739999999999999</v>
      </c>
      <c r="AE45" s="321">
        <f>K33</f>
        <v>0.8</v>
      </c>
      <c r="AF45" s="321">
        <f>L33</f>
        <v>3.2</v>
      </c>
      <c r="AG45" s="51">
        <f>AK45</f>
        <v>3</v>
      </c>
      <c r="AH45" s="322">
        <f>N33</f>
        <v>2.9430000000000001</v>
      </c>
      <c r="AI45" s="321">
        <f>O33</f>
        <v>1.581</v>
      </c>
      <c r="AJ45" s="321">
        <f>P33</f>
        <v>2.2000000000000002</v>
      </c>
      <c r="AK45" s="323">
        <f>Q33</f>
        <v>3</v>
      </c>
      <c r="AL45" s="47"/>
      <c r="AM45" s="47"/>
      <c r="AT45" s="49"/>
      <c r="AU45" s="49"/>
      <c r="AV45" s="49"/>
      <c r="AW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</row>
    <row r="46" spans="1:64" s="10" customFormat="1" ht="15.75" thickBot="1" x14ac:dyDescent="0.3">
      <c r="A46" s="66"/>
      <c r="B46" s="67"/>
      <c r="C46" s="28"/>
      <c r="D46" s="27"/>
      <c r="E46" s="27"/>
      <c r="F46" s="27"/>
      <c r="G46" s="27"/>
      <c r="H46" s="28"/>
      <c r="I46" s="27"/>
      <c r="J46" s="27"/>
      <c r="K46" s="27"/>
      <c r="L46" s="27"/>
      <c r="M46" s="28"/>
      <c r="N46" s="27"/>
      <c r="O46" s="27"/>
      <c r="P46" s="27"/>
      <c r="Q46" s="27"/>
      <c r="R46" s="28"/>
      <c r="S46" s="27"/>
      <c r="T46" s="27"/>
      <c r="U46" s="27"/>
      <c r="V46" s="27"/>
      <c r="W46" s="28"/>
      <c r="X46" s="27"/>
      <c r="Y46" s="27"/>
      <c r="Z46" s="27"/>
      <c r="AA46" s="27"/>
      <c r="AB46" s="28"/>
      <c r="AC46" s="27"/>
      <c r="AD46" s="27"/>
      <c r="AE46" s="27"/>
      <c r="AF46" s="27"/>
      <c r="AG46" s="28"/>
      <c r="AH46" s="27"/>
      <c r="AI46" s="27"/>
      <c r="AJ46" s="27"/>
      <c r="AK46" s="27"/>
    </row>
    <row r="47" spans="1:64" s="10" customFormat="1" ht="43.5" thickBot="1" x14ac:dyDescent="0.3">
      <c r="A47" s="176" t="s">
        <v>152</v>
      </c>
      <c r="B47" s="178"/>
      <c r="C47" s="184" t="str">
        <f>IF(SUM(C45)&gt;0,"Проверка пройдена","Заполните данные в запасах (Таблица 4)")</f>
        <v>Проверка пройдена</v>
      </c>
      <c r="D47" s="185" t="str">
        <f t="shared" ref="D47:V47" si="4">IF(SUM(D45)&gt;0,"Проверка пройдена","Заполните данные в запасах (Таблица 4)")</f>
        <v>Проверка пройдена</v>
      </c>
      <c r="E47" s="186" t="str">
        <f t="shared" si="4"/>
        <v>Проверка пройдена</v>
      </c>
      <c r="F47" s="186" t="str">
        <f t="shared" si="4"/>
        <v>Проверка пройдена</v>
      </c>
      <c r="G47" s="187" t="str">
        <f t="shared" si="4"/>
        <v>Проверка пройдена</v>
      </c>
      <c r="H47" s="184" t="str">
        <f t="shared" si="4"/>
        <v>Проверка пройдена</v>
      </c>
      <c r="I47" s="185" t="str">
        <f t="shared" si="4"/>
        <v>Проверка пройдена</v>
      </c>
      <c r="J47" s="186" t="str">
        <f t="shared" si="4"/>
        <v>Проверка пройдена</v>
      </c>
      <c r="K47" s="186" t="str">
        <f t="shared" si="4"/>
        <v>Проверка пройдена</v>
      </c>
      <c r="L47" s="187" t="str">
        <f t="shared" si="4"/>
        <v>Проверка пройдена</v>
      </c>
      <c r="M47" s="184" t="str">
        <f t="shared" si="4"/>
        <v>Проверка пройдена</v>
      </c>
      <c r="N47" s="185" t="str">
        <f t="shared" si="4"/>
        <v>Проверка пройдена</v>
      </c>
      <c r="O47" s="186" t="str">
        <f t="shared" si="4"/>
        <v>Проверка пройдена</v>
      </c>
      <c r="P47" s="186" t="str">
        <f t="shared" si="4"/>
        <v>Проверка пройдена</v>
      </c>
      <c r="Q47" s="187" t="str">
        <f t="shared" si="4"/>
        <v>Проверка пройдена</v>
      </c>
      <c r="R47" s="184" t="str">
        <f t="shared" si="4"/>
        <v>Проверка пройдена</v>
      </c>
      <c r="S47" s="185" t="str">
        <f t="shared" si="4"/>
        <v>Проверка пройдена</v>
      </c>
      <c r="T47" s="186" t="str">
        <f t="shared" si="4"/>
        <v>Проверка пройдена</v>
      </c>
      <c r="U47" s="186" t="str">
        <f t="shared" si="4"/>
        <v>Проверка пройдена</v>
      </c>
      <c r="V47" s="188" t="str">
        <f t="shared" si="4"/>
        <v>Проверка пройдена</v>
      </c>
      <c r="W47" s="28"/>
      <c r="X47" s="27"/>
      <c r="Y47" s="27"/>
      <c r="Z47" s="27"/>
      <c r="AA47" s="27"/>
      <c r="AB47" s="28"/>
      <c r="AC47" s="27"/>
      <c r="AD47" s="27"/>
      <c r="AE47" s="27"/>
      <c r="AF47" s="27"/>
      <c r="AG47" s="28"/>
      <c r="AH47" s="27"/>
      <c r="AI47" s="27"/>
      <c r="AJ47" s="27"/>
      <c r="AK47" s="27"/>
    </row>
    <row r="48" spans="1:64" x14ac:dyDescent="0.25">
      <c r="A48" s="1"/>
      <c r="B48" s="7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4"/>
    </row>
    <row r="49" spans="1:39" s="10" customFormat="1" x14ac:dyDescent="0.25">
      <c r="A49" s="154" t="s">
        <v>91</v>
      </c>
      <c r="B49" s="143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28"/>
      <c r="X49" s="27"/>
      <c r="Y49" s="27"/>
      <c r="Z49" s="27"/>
      <c r="AA49" s="27"/>
      <c r="AB49" s="28"/>
      <c r="AC49" s="27"/>
      <c r="AD49" s="27"/>
      <c r="AE49" s="27"/>
      <c r="AF49" s="27"/>
      <c r="AG49" s="28"/>
      <c r="AH49" s="27"/>
      <c r="AI49" s="27"/>
      <c r="AJ49" s="27"/>
      <c r="AK49" s="27"/>
    </row>
    <row r="50" spans="1:39" ht="15.75" thickBot="1" x14ac:dyDescent="0.3">
      <c r="A50" s="155" t="s">
        <v>145</v>
      </c>
      <c r="B50" s="81"/>
      <c r="C50" s="63"/>
      <c r="D50" s="63"/>
      <c r="E50" s="63"/>
      <c r="F50" s="63"/>
      <c r="G50" s="63"/>
      <c r="H50" s="63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4"/>
    </row>
    <row r="51" spans="1:39" ht="14.45" customHeight="1" x14ac:dyDescent="0.25">
      <c r="A51" s="535" t="s">
        <v>16</v>
      </c>
      <c r="B51" s="540" t="s">
        <v>37</v>
      </c>
      <c r="C51" s="524" t="str">
        <f>YEAR(Test_date)&amp;" год"</f>
        <v>2021 год</v>
      </c>
      <c r="D51" s="543" t="str">
        <f>C51</f>
        <v>2021 год</v>
      </c>
      <c r="E51" s="526"/>
      <c r="F51" s="526"/>
      <c r="G51" s="544"/>
      <c r="H51" s="119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</row>
    <row r="52" spans="1:39" ht="15.75" thickBot="1" x14ac:dyDescent="0.3">
      <c r="A52" s="536"/>
      <c r="B52" s="541"/>
      <c r="C52" s="542"/>
      <c r="D52" s="475" t="s">
        <v>0</v>
      </c>
      <c r="E52" s="476" t="s">
        <v>1</v>
      </c>
      <c r="F52" s="476" t="s">
        <v>2</v>
      </c>
      <c r="G52" s="487" t="s">
        <v>3</v>
      </c>
      <c r="H52" s="324" t="s">
        <v>139</v>
      </c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</row>
    <row r="53" spans="1:39" x14ac:dyDescent="0.25">
      <c r="A53" s="145" t="s">
        <v>7</v>
      </c>
      <c r="B53" s="131" t="s">
        <v>148</v>
      </c>
      <c r="C53" s="132">
        <f>SUM(D53:G53)</f>
        <v>1</v>
      </c>
      <c r="D53" s="93">
        <f>IFERROR(AVERAGE(D26/$C26,I26/$H26,N26/$M26),0)</f>
        <v>0</v>
      </c>
      <c r="E53" s="92">
        <f>IF(IFERROR(AVERAGE(E26/$C26,J26/$H26,O26/$M26),0)&gt;0,1-SUM(D53,F53:G53),0)</f>
        <v>0.13722429652920098</v>
      </c>
      <c r="F53" s="93">
        <f>IFERROR(AVERAGE(F26/$C26,K26/$H26,P26/$M26),0)</f>
        <v>0.86277570347079902</v>
      </c>
      <c r="G53" s="98">
        <f>IFERROR(AVERAGE(G26/$C26,L26/$H26,Q26/$M26),0)</f>
        <v>0</v>
      </c>
      <c r="H53" s="140" t="str">
        <f>IF(AND(SUM(D53:G53)&gt;0,C53&lt;&gt;1),"Сумма значений 1,2,3,4 кварталов должна равняться '1'","Проверка пройдена")</f>
        <v>Проверка пройдена</v>
      </c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</row>
    <row r="54" spans="1:39" x14ac:dyDescent="0.25">
      <c r="A54" s="146" t="s">
        <v>5</v>
      </c>
      <c r="B54" s="126" t="s">
        <v>148</v>
      </c>
      <c r="C54" s="95">
        <f>SUM(D54:G54)</f>
        <v>1</v>
      </c>
      <c r="D54" s="91">
        <f>IFERROR(AVERAGE(D30/$C30,I30/$H30,N30/$M30),0)</f>
        <v>0</v>
      </c>
      <c r="E54" s="92">
        <f>IF(IFERROR(AVERAGE(E30/$C30,J30/$H30,O30/$M30),0)&gt;0,1-SUM(D54,F54:G54),0)</f>
        <v>0</v>
      </c>
      <c r="F54" s="91">
        <f>IFERROR(AVERAGE(F30/$C30,K30/$H30,P30/$M30),0)</f>
        <v>1</v>
      </c>
      <c r="G54" s="124">
        <f>IFERROR(AVERAGE(G30/$C30,L30/$H30,Q30/$M30),0)</f>
        <v>0</v>
      </c>
      <c r="H54" s="140" t="str">
        <f>IF(AND(SUM(D54:G54)&gt;0,C54&lt;&gt;1),"Сумма значений 1,2,3,4 кварталов должна равняться '1'","Проверка пройдена")</f>
        <v>Проверка пройдена</v>
      </c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</row>
    <row r="55" spans="1:39" ht="15.75" thickBot="1" x14ac:dyDescent="0.3">
      <c r="A55" s="147" t="s">
        <v>6</v>
      </c>
      <c r="B55" s="68" t="s">
        <v>148</v>
      </c>
      <c r="C55" s="96">
        <f>SUM(D55:G55)</f>
        <v>1</v>
      </c>
      <c r="D55" s="94">
        <f>IFERROR(AVERAGE(D32/$C32,I32/$H32,N32/$M32),0)</f>
        <v>0.18726353036050636</v>
      </c>
      <c r="E55" s="75">
        <f>IF(IFERROR(AVERAGE(E32/$C32,J31/$H31,O31/$M31),0)&gt;0,1-SUM(D55,F55:G55),0)</f>
        <v>0.29894070173127463</v>
      </c>
      <c r="F55" s="94">
        <f>IFERROR(AVERAGE(F32/$C32,K32/$H32,P32/$M32),0)</f>
        <v>0.35318512987235562</v>
      </c>
      <c r="G55" s="125">
        <f>IFERROR(AVERAGE(G32/$C32,L32/$H32,Q32/$M32),0)</f>
        <v>0.16061063803586342</v>
      </c>
      <c r="H55" s="140" t="str">
        <f>IF(AND(SUM(D55:G55)&gt;0,C55&lt;&gt;1),"Сумма значений 1,2,3,4 кварталов должна равняться '1'","Проверка пройдена")</f>
        <v>Проверка пройдена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4"/>
    </row>
    <row r="56" spans="1:39" x14ac:dyDescent="0.25">
      <c r="A56" s="83"/>
      <c r="B56" s="84"/>
      <c r="C56" s="456"/>
      <c r="D56" s="454"/>
      <c r="E56" s="454"/>
      <c r="F56" s="454"/>
      <c r="G56" s="454"/>
      <c r="H56" s="457"/>
      <c r="I56" s="458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4"/>
    </row>
    <row r="57" spans="1:39" s="10" customFormat="1" x14ac:dyDescent="0.25">
      <c r="A57" s="154" t="s">
        <v>95</v>
      </c>
      <c r="B57" s="143"/>
      <c r="C57" s="459"/>
      <c r="D57" s="459"/>
      <c r="E57" s="459"/>
      <c r="F57" s="459"/>
      <c r="G57" s="459"/>
      <c r="H57" s="459"/>
      <c r="I57" s="459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28"/>
      <c r="X57" s="27"/>
      <c r="Y57" s="27"/>
      <c r="Z57" s="27"/>
      <c r="AA57" s="27"/>
      <c r="AB57" s="28"/>
      <c r="AC57" s="27"/>
      <c r="AD57" s="27"/>
      <c r="AE57" s="27"/>
      <c r="AF57" s="27"/>
      <c r="AG57" s="28"/>
      <c r="AH57" s="27"/>
      <c r="AI57" s="27"/>
      <c r="AJ57" s="27"/>
      <c r="AK57" s="27"/>
    </row>
    <row r="58" spans="1:39" x14ac:dyDescent="0.25">
      <c r="A58" s="155" t="s">
        <v>136</v>
      </c>
      <c r="B58" s="81"/>
      <c r="C58" s="63"/>
      <c r="D58" s="63"/>
      <c r="E58" s="63"/>
      <c r="F58" s="63"/>
      <c r="G58" s="63"/>
      <c r="H58" s="63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4"/>
    </row>
    <row r="59" spans="1:39" x14ac:dyDescent="0.25">
      <c r="A59" s="155" t="s">
        <v>156</v>
      </c>
      <c r="B59" s="81"/>
      <c r="C59" s="63"/>
      <c r="D59" s="63"/>
      <c r="E59" s="63"/>
      <c r="F59" s="63"/>
      <c r="G59" s="63"/>
      <c r="H59" s="63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4"/>
    </row>
    <row r="60" spans="1:39" ht="15.75" thickBot="1" x14ac:dyDescent="0.3">
      <c r="A60" s="155" t="s">
        <v>161</v>
      </c>
      <c r="B60" s="81"/>
      <c r="C60" s="63"/>
      <c r="D60" s="63"/>
      <c r="E60" s="63"/>
      <c r="F60" s="63"/>
      <c r="G60" s="63"/>
      <c r="H60" s="63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4"/>
    </row>
    <row r="61" spans="1:39" ht="15.75" thickBot="1" x14ac:dyDescent="0.3">
      <c r="A61" s="97" t="s">
        <v>13</v>
      </c>
      <c r="B61" s="74" t="s">
        <v>37</v>
      </c>
      <c r="C61" s="488" t="str">
        <f>(YEAR(Test_date)-3)&amp;" год"</f>
        <v>2018 год</v>
      </c>
      <c r="D61" s="489" t="str">
        <f>(LEFT(C61,4)+1)&amp;" год"</f>
        <v>2019 год</v>
      </c>
      <c r="E61" s="489" t="str">
        <f>(LEFT(D61,4)+1)&amp;" год"</f>
        <v>2020 год</v>
      </c>
      <c r="F61" s="489" t="str">
        <f>(LEFT(E61,4)+1)&amp;" год"</f>
        <v>2021 год</v>
      </c>
      <c r="G61" s="489" t="str">
        <f>(LEFT(F61,4)+1)&amp;" год"</f>
        <v>2022 год</v>
      </c>
      <c r="H61" s="489" t="str">
        <f>(LEFT(G61,4)+1)&amp;" год"</f>
        <v>2023 год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4"/>
    </row>
    <row r="62" spans="1:39" ht="15.75" thickBot="1" x14ac:dyDescent="0.3">
      <c r="A62" s="157" t="s">
        <v>155</v>
      </c>
      <c r="B62" s="127" t="s">
        <v>137</v>
      </c>
      <c r="C62" s="325">
        <v>1015.79</v>
      </c>
      <c r="D62" s="75">
        <v>1006.9</v>
      </c>
      <c r="E62" s="75">
        <v>1005.782</v>
      </c>
      <c r="F62" s="344">
        <v>997.68499999999995</v>
      </c>
      <c r="G62" s="75">
        <v>989.34500000000003</v>
      </c>
      <c r="H62" s="75">
        <v>989.34500000000003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4"/>
    </row>
    <row r="63" spans="1:39" x14ac:dyDescent="0.25">
      <c r="A63" s="76"/>
      <c r="B63" s="77"/>
      <c r="C63" s="78"/>
      <c r="D63" s="78"/>
      <c r="E63" s="78"/>
      <c r="F63" s="79"/>
      <c r="G63" s="80"/>
      <c r="H63" s="80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4"/>
    </row>
    <row r="64" spans="1:39" s="10" customFormat="1" x14ac:dyDescent="0.25">
      <c r="A64" s="154" t="s">
        <v>96</v>
      </c>
      <c r="B64" s="143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28"/>
      <c r="X64" s="27"/>
      <c r="Y64" s="27"/>
      <c r="Z64" s="27"/>
      <c r="AA64" s="27"/>
      <c r="AB64" s="28"/>
      <c r="AC64" s="27"/>
      <c r="AD64" s="27"/>
      <c r="AE64" s="27"/>
      <c r="AF64" s="27"/>
      <c r="AG64" s="28"/>
      <c r="AH64" s="27"/>
      <c r="AI64" s="27"/>
      <c r="AJ64" s="27"/>
      <c r="AK64" s="27"/>
    </row>
    <row r="65" spans="1:49" ht="15.75" thickBot="1" x14ac:dyDescent="0.3">
      <c r="A65" s="155" t="s">
        <v>159</v>
      </c>
      <c r="B65" s="81"/>
      <c r="C65" s="63"/>
      <c r="D65" s="63"/>
      <c r="E65" s="63"/>
      <c r="F65" s="63"/>
      <c r="G65" s="63"/>
      <c r="H65" s="63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4"/>
    </row>
    <row r="66" spans="1:49" ht="15.75" thickBot="1" x14ac:dyDescent="0.3">
      <c r="A66" s="97" t="s">
        <v>13</v>
      </c>
      <c r="B66" s="74" t="s">
        <v>37</v>
      </c>
      <c r="C66" s="490" t="str">
        <f>YEAR(Test_date)&amp;" год"</f>
        <v>2021 год</v>
      </c>
      <c r="D66" s="489" t="str">
        <f>(LEFT(C66,4)+1)&amp;" год"</f>
        <v>2022 год</v>
      </c>
      <c r="E66" s="491" t="str">
        <f>(LEFT(D66,4)+1)&amp;" год"</f>
        <v>2023 год</v>
      </c>
      <c r="F66" s="82"/>
      <c r="G66" s="82"/>
      <c r="H66" s="82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4"/>
    </row>
    <row r="67" spans="1:49" ht="15.75" thickBot="1" x14ac:dyDescent="0.3">
      <c r="A67" s="157" t="s">
        <v>149</v>
      </c>
      <c r="B67" s="127" t="s">
        <v>164</v>
      </c>
      <c r="C67" s="356">
        <f>IFERROR(((C32+H32+M32)/(C62+D62+E62))*1000,0)</f>
        <v>68.780559965553579</v>
      </c>
      <c r="D67" s="357">
        <f>C67</f>
        <v>68.780559965553579</v>
      </c>
      <c r="E67" s="358">
        <f>D67</f>
        <v>68.780559965553579</v>
      </c>
      <c r="F67" s="80"/>
      <c r="G67" s="80"/>
      <c r="H67" s="80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4"/>
    </row>
    <row r="68" spans="1:49" x14ac:dyDescent="0.25">
      <c r="A68" s="76"/>
      <c r="B68" s="77"/>
      <c r="C68" s="107"/>
      <c r="D68" s="107"/>
      <c r="E68" s="107"/>
      <c r="F68" s="80"/>
      <c r="G68" s="80"/>
      <c r="H68" s="80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4"/>
    </row>
    <row r="69" spans="1:49" x14ac:dyDescent="0.25">
      <c r="A69" s="154" t="s">
        <v>134</v>
      </c>
      <c r="B69" s="81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2"/>
      <c r="Z69" s="112"/>
      <c r="AA69" s="112"/>
      <c r="AB69" s="112"/>
      <c r="AC69" s="112"/>
      <c r="AD69" s="112"/>
      <c r="AE69" s="112"/>
      <c r="AF69" s="112"/>
      <c r="AG69" s="112"/>
      <c r="AH69" s="112"/>
      <c r="AI69" s="112"/>
      <c r="AJ69" s="112"/>
      <c r="AK69" s="112"/>
      <c r="AL69" s="108"/>
    </row>
    <row r="70" spans="1:49" ht="15.75" thickBot="1" x14ac:dyDescent="0.3">
      <c r="A70" s="155" t="s">
        <v>133</v>
      </c>
      <c r="B70" s="113"/>
      <c r="C70" s="108"/>
      <c r="D70" s="108"/>
      <c r="E70" s="108"/>
      <c r="F70" s="108"/>
      <c r="G70" s="108"/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  <c r="AA70" s="108"/>
      <c r="AB70" s="108"/>
      <c r="AC70" s="108"/>
      <c r="AD70" s="108"/>
      <c r="AE70" s="108"/>
      <c r="AF70" s="108"/>
      <c r="AG70" s="108"/>
      <c r="AH70" s="108"/>
      <c r="AI70" s="108"/>
      <c r="AJ70" s="108"/>
      <c r="AK70" s="108"/>
      <c r="AL70" s="108"/>
      <c r="AM70" s="108"/>
      <c r="AN70" s="108"/>
      <c r="AO70" s="108"/>
      <c r="AP70" s="108"/>
      <c r="AQ70" s="108"/>
      <c r="AR70" s="108"/>
      <c r="AS70" s="108"/>
      <c r="AT70" s="108"/>
      <c r="AU70" s="108"/>
      <c r="AV70" s="108"/>
      <c r="AW70" s="108"/>
    </row>
    <row r="71" spans="1:49" ht="15.75" thickBot="1" x14ac:dyDescent="0.3">
      <c r="A71" s="99" t="s">
        <v>13</v>
      </c>
      <c r="B71" s="102" t="s">
        <v>37</v>
      </c>
      <c r="C71" s="492" t="str">
        <f>(YEAR(Test_date)-17)&amp;" год"</f>
        <v>2004 год</v>
      </c>
      <c r="D71" s="479" t="str">
        <f t="shared" ref="D71:V71" si="5">(LEFT(C71,4)+1)&amp;" год"</f>
        <v>2005 год</v>
      </c>
      <c r="E71" s="479" t="str">
        <f t="shared" si="5"/>
        <v>2006 год</v>
      </c>
      <c r="F71" s="479" t="str">
        <f t="shared" si="5"/>
        <v>2007 год</v>
      </c>
      <c r="G71" s="479" t="str">
        <f t="shared" si="5"/>
        <v>2008 год</v>
      </c>
      <c r="H71" s="479" t="str">
        <f t="shared" si="5"/>
        <v>2009 год</v>
      </c>
      <c r="I71" s="479" t="str">
        <f t="shared" si="5"/>
        <v>2010 год</v>
      </c>
      <c r="J71" s="479" t="str">
        <f t="shared" si="5"/>
        <v>2011 год</v>
      </c>
      <c r="K71" s="479" t="str">
        <f t="shared" si="5"/>
        <v>2012 год</v>
      </c>
      <c r="L71" s="479" t="str">
        <f t="shared" si="5"/>
        <v>2013 год</v>
      </c>
      <c r="M71" s="479" t="str">
        <f t="shared" si="5"/>
        <v>2014 год</v>
      </c>
      <c r="N71" s="479" t="str">
        <f t="shared" si="5"/>
        <v>2015 год</v>
      </c>
      <c r="O71" s="479" t="str">
        <f t="shared" si="5"/>
        <v>2016 год</v>
      </c>
      <c r="P71" s="479" t="str">
        <f t="shared" si="5"/>
        <v>2017 год</v>
      </c>
      <c r="Q71" s="479" t="str">
        <f t="shared" si="5"/>
        <v>2018 год</v>
      </c>
      <c r="R71" s="479" t="str">
        <f t="shared" si="5"/>
        <v>2019 год</v>
      </c>
      <c r="S71" s="493" t="str">
        <f t="shared" si="5"/>
        <v>2020 год</v>
      </c>
      <c r="T71" s="494" t="str">
        <f t="shared" si="5"/>
        <v>2021 год</v>
      </c>
      <c r="U71" s="479" t="str">
        <f t="shared" si="5"/>
        <v>2022 год</v>
      </c>
      <c r="V71" s="493" t="str">
        <f t="shared" si="5"/>
        <v>2023 год</v>
      </c>
      <c r="W71" s="108"/>
      <c r="X71" s="108"/>
      <c r="Y71" s="108"/>
      <c r="Z71" s="108"/>
      <c r="AA71" s="108"/>
      <c r="AB71" s="108"/>
      <c r="AC71" s="108"/>
      <c r="AD71" s="108"/>
      <c r="AE71" s="108"/>
      <c r="AF71" s="108"/>
      <c r="AG71" s="108"/>
      <c r="AH71" s="108"/>
      <c r="AI71" s="108"/>
      <c r="AJ71" s="108"/>
      <c r="AK71" s="108"/>
      <c r="AL71" s="108"/>
      <c r="AM71" s="108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</row>
    <row r="72" spans="1:49" x14ac:dyDescent="0.25">
      <c r="A72" s="364" t="s">
        <v>121</v>
      </c>
      <c r="B72" s="365" t="s">
        <v>103</v>
      </c>
      <c r="C72" s="368">
        <v>20</v>
      </c>
      <c r="D72" s="369">
        <v>20</v>
      </c>
      <c r="E72" s="369">
        <v>20</v>
      </c>
      <c r="F72" s="369">
        <v>20</v>
      </c>
      <c r="G72" s="369">
        <v>20</v>
      </c>
      <c r="H72" s="369">
        <v>20</v>
      </c>
      <c r="I72" s="369">
        <v>20</v>
      </c>
      <c r="J72" s="369">
        <v>20</v>
      </c>
      <c r="K72" s="369">
        <v>20</v>
      </c>
      <c r="L72" s="369">
        <v>20</v>
      </c>
      <c r="M72" s="369">
        <v>30</v>
      </c>
      <c r="N72" s="369">
        <v>25</v>
      </c>
      <c r="O72" s="369">
        <v>25</v>
      </c>
      <c r="P72" s="369">
        <v>23.2</v>
      </c>
      <c r="Q72" s="369">
        <v>20</v>
      </c>
      <c r="R72" s="369">
        <v>23.2</v>
      </c>
      <c r="S72" s="370">
        <v>11.4</v>
      </c>
      <c r="T72" s="329">
        <f>$C79*T$75+$D79</f>
        <v>21.589705882352938</v>
      </c>
      <c r="U72" s="330">
        <f t="shared" ref="U72:V72" si="6">$C79*U$75+$D79</f>
        <v>21.649999999999995</v>
      </c>
      <c r="V72" s="331">
        <f t="shared" si="6"/>
        <v>21.710294117647056</v>
      </c>
      <c r="W72" s="108"/>
      <c r="X72" s="108"/>
      <c r="Y72" s="108"/>
      <c r="Z72" s="108"/>
      <c r="AA72" s="108"/>
      <c r="AB72" s="108"/>
      <c r="AC72" s="108"/>
      <c r="AD72" s="108"/>
      <c r="AE72" s="108"/>
      <c r="AF72" s="108"/>
      <c r="AG72" s="108"/>
      <c r="AH72" s="108"/>
      <c r="AI72" s="108"/>
      <c r="AJ72" s="108"/>
      <c r="AK72" s="108"/>
      <c r="AL72" s="108"/>
      <c r="AM72" s="108"/>
      <c r="AN72" s="108"/>
      <c r="AO72" s="108"/>
      <c r="AP72" s="108"/>
      <c r="AQ72" s="108"/>
      <c r="AR72" s="108"/>
      <c r="AS72" s="108"/>
      <c r="AT72" s="108"/>
      <c r="AU72" s="108"/>
      <c r="AV72" s="108"/>
      <c r="AW72" s="108"/>
    </row>
    <row r="73" spans="1:49" x14ac:dyDescent="0.25">
      <c r="A73" s="360" t="s">
        <v>122</v>
      </c>
      <c r="B73" s="362" t="s">
        <v>103</v>
      </c>
      <c r="C73" s="371">
        <v>18</v>
      </c>
      <c r="D73" s="372">
        <v>18</v>
      </c>
      <c r="E73" s="372">
        <v>18</v>
      </c>
      <c r="F73" s="372">
        <v>18</v>
      </c>
      <c r="G73" s="372">
        <v>18</v>
      </c>
      <c r="H73" s="372">
        <v>60</v>
      </c>
      <c r="I73" s="372">
        <v>60</v>
      </c>
      <c r="J73" s="372">
        <v>60</v>
      </c>
      <c r="K73" s="372">
        <v>60</v>
      </c>
      <c r="L73" s="372">
        <v>60</v>
      </c>
      <c r="M73" s="372">
        <v>60</v>
      </c>
      <c r="N73" s="372">
        <v>50</v>
      </c>
      <c r="O73" s="372">
        <v>21.3</v>
      </c>
      <c r="P73" s="372">
        <v>51</v>
      </c>
      <c r="Q73" s="372">
        <v>21.3</v>
      </c>
      <c r="R73" s="372">
        <v>51</v>
      </c>
      <c r="S73" s="373">
        <v>84.7</v>
      </c>
      <c r="T73" s="203">
        <f>$E79*T$75+$F79</f>
        <v>63.472058823529402</v>
      </c>
      <c r="U73" s="204">
        <f t="shared" ref="U73:V73" si="7">$E79*U$75+$F79</f>
        <v>65.757843137254895</v>
      </c>
      <c r="V73" s="205">
        <f t="shared" si="7"/>
        <v>68.043627450980381</v>
      </c>
      <c r="W73" s="108"/>
      <c r="X73" s="108"/>
      <c r="Y73" s="108"/>
      <c r="Z73" s="108"/>
      <c r="AA73" s="108"/>
      <c r="AB73" s="108"/>
      <c r="AC73" s="108"/>
      <c r="AD73" s="108"/>
      <c r="AE73" s="108"/>
      <c r="AF73" s="108"/>
      <c r="AG73" s="108"/>
      <c r="AH73" s="108"/>
      <c r="AI73" s="108"/>
      <c r="AJ73" s="108"/>
      <c r="AK73" s="108"/>
      <c r="AL73" s="108"/>
      <c r="AM73" s="108"/>
      <c r="AN73" s="108"/>
      <c r="AO73" s="108"/>
      <c r="AP73" s="108"/>
      <c r="AQ73" s="108"/>
      <c r="AR73" s="108"/>
      <c r="AS73" s="108"/>
      <c r="AT73" s="108"/>
      <c r="AU73" s="108"/>
      <c r="AV73" s="108"/>
      <c r="AW73" s="108"/>
    </row>
    <row r="74" spans="1:49" x14ac:dyDescent="0.25">
      <c r="A74" s="360" t="s">
        <v>123</v>
      </c>
      <c r="B74" s="362" t="s">
        <v>103</v>
      </c>
      <c r="C74" s="371">
        <v>45.3</v>
      </c>
      <c r="D74" s="372">
        <v>45.3</v>
      </c>
      <c r="E74" s="372">
        <v>45.3</v>
      </c>
      <c r="F74" s="372">
        <v>45.3</v>
      </c>
      <c r="G74" s="372">
        <v>45.3</v>
      </c>
      <c r="H74" s="372">
        <v>45.3</v>
      </c>
      <c r="I74" s="372">
        <v>45.3</v>
      </c>
      <c r="J74" s="372">
        <v>45.3</v>
      </c>
      <c r="K74" s="372">
        <v>45.3</v>
      </c>
      <c r="L74" s="372">
        <v>45.3</v>
      </c>
      <c r="M74" s="372">
        <v>140</v>
      </c>
      <c r="N74" s="372">
        <v>140</v>
      </c>
      <c r="O74" s="372">
        <v>45.3</v>
      </c>
      <c r="P74" s="372">
        <v>70</v>
      </c>
      <c r="Q74" s="372">
        <v>45.3</v>
      </c>
      <c r="R74" s="372">
        <v>80.099999999999994</v>
      </c>
      <c r="S74" s="373">
        <v>84.5</v>
      </c>
      <c r="T74" s="203">
        <f>$G79*T$75+$H79</f>
        <v>87.707352941176453</v>
      </c>
      <c r="U74" s="204">
        <f>$G79*U$75+$H79</f>
        <v>90.536274509803903</v>
      </c>
      <c r="V74" s="205">
        <f>$G79*V$75+$H79</f>
        <v>93.365196078431353</v>
      </c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8"/>
      <c r="AV74" s="108"/>
      <c r="AW74" s="108"/>
    </row>
    <row r="75" spans="1:49" ht="15.75" thickBot="1" x14ac:dyDescent="0.3">
      <c r="A75" s="109" t="s">
        <v>124</v>
      </c>
      <c r="B75" s="363" t="s">
        <v>103</v>
      </c>
      <c r="C75" s="361">
        <v>1</v>
      </c>
      <c r="D75" s="110">
        <v>2</v>
      </c>
      <c r="E75" s="110">
        <v>3</v>
      </c>
      <c r="F75" s="110">
        <v>4</v>
      </c>
      <c r="G75" s="110">
        <v>5</v>
      </c>
      <c r="H75" s="110">
        <v>6</v>
      </c>
      <c r="I75" s="110">
        <v>7</v>
      </c>
      <c r="J75" s="110">
        <v>8</v>
      </c>
      <c r="K75" s="110">
        <v>9</v>
      </c>
      <c r="L75" s="110">
        <v>10</v>
      </c>
      <c r="M75" s="110">
        <v>11</v>
      </c>
      <c r="N75" s="110">
        <v>12</v>
      </c>
      <c r="O75" s="110">
        <v>13</v>
      </c>
      <c r="P75" s="110">
        <v>14</v>
      </c>
      <c r="Q75" s="110">
        <v>15</v>
      </c>
      <c r="R75" s="110">
        <v>16</v>
      </c>
      <c r="S75" s="111">
        <v>17</v>
      </c>
      <c r="T75" s="206">
        <v>18</v>
      </c>
      <c r="U75" s="207">
        <v>19</v>
      </c>
      <c r="V75" s="208">
        <v>20</v>
      </c>
      <c r="W75" s="108"/>
      <c r="X75" s="108"/>
      <c r="Y75" s="108"/>
      <c r="Z75" s="108"/>
      <c r="AA75" s="108"/>
      <c r="AB75" s="108"/>
      <c r="AC75" s="108"/>
      <c r="AD75" s="108"/>
      <c r="AE75" s="108"/>
      <c r="AF75" s="108"/>
      <c r="AG75" s="108"/>
      <c r="AH75" s="108"/>
      <c r="AI75" s="108"/>
      <c r="AJ75" s="108"/>
      <c r="AK75" s="108"/>
      <c r="AL75" s="108"/>
      <c r="AM75" s="108"/>
      <c r="AN75" s="108"/>
      <c r="AO75" s="108"/>
      <c r="AP75" s="108"/>
      <c r="AQ75" s="108"/>
      <c r="AR75" s="108"/>
      <c r="AS75" s="108"/>
      <c r="AT75" s="108"/>
      <c r="AU75" s="108"/>
      <c r="AV75" s="108"/>
      <c r="AW75" s="108"/>
    </row>
    <row r="76" spans="1:49" s="14" customFormat="1" ht="15.75" thickBot="1" x14ac:dyDescent="0.3">
      <c r="A76" s="112"/>
      <c r="B76" s="81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112"/>
      <c r="AF76" s="112"/>
      <c r="AG76" s="112"/>
      <c r="AH76" s="112"/>
      <c r="AI76" s="112"/>
      <c r="AJ76" s="112"/>
      <c r="AK76" s="112"/>
      <c r="AL76" s="112"/>
      <c r="AM76" s="112"/>
      <c r="AN76" s="112"/>
      <c r="AO76" s="112"/>
      <c r="AP76" s="112"/>
      <c r="AQ76" s="112"/>
      <c r="AR76" s="112"/>
      <c r="AS76" s="112"/>
      <c r="AT76" s="112"/>
      <c r="AU76" s="112"/>
      <c r="AV76" s="112"/>
      <c r="AW76" s="112"/>
    </row>
    <row r="77" spans="1:49" s="14" customFormat="1" ht="31.35" customHeight="1" x14ac:dyDescent="0.25">
      <c r="A77" s="342" t="s">
        <v>125</v>
      </c>
      <c r="B77" s="343"/>
      <c r="C77" s="537" t="s">
        <v>126</v>
      </c>
      <c r="D77" s="538"/>
      <c r="E77" s="538" t="s">
        <v>127</v>
      </c>
      <c r="F77" s="538"/>
      <c r="G77" s="538" t="s">
        <v>128</v>
      </c>
      <c r="H77" s="539"/>
      <c r="I77" s="112"/>
      <c r="J77" s="112"/>
      <c r="K77" s="112"/>
      <c r="L77" s="112"/>
      <c r="M77" s="112"/>
      <c r="N77" s="112"/>
      <c r="O77" s="112"/>
      <c r="P77" s="112"/>
      <c r="Q77" s="112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  <c r="AC77" s="112"/>
      <c r="AD77" s="112"/>
      <c r="AE77" s="112"/>
      <c r="AF77" s="112"/>
      <c r="AG77" s="112"/>
      <c r="AH77" s="112"/>
      <c r="AI77" s="112"/>
      <c r="AJ77" s="112"/>
      <c r="AK77" s="112"/>
      <c r="AL77" s="112"/>
      <c r="AM77" s="112"/>
      <c r="AN77" s="112"/>
      <c r="AO77" s="112"/>
      <c r="AP77" s="112"/>
      <c r="AQ77" s="112"/>
      <c r="AR77" s="112"/>
      <c r="AS77" s="112"/>
      <c r="AT77" s="112"/>
      <c r="AU77" s="112"/>
      <c r="AV77" s="112"/>
      <c r="AW77" s="112"/>
    </row>
    <row r="78" spans="1:49" ht="15.75" thickBot="1" x14ac:dyDescent="0.3">
      <c r="A78" s="337" t="s">
        <v>129</v>
      </c>
      <c r="B78" s="341" t="s">
        <v>37</v>
      </c>
      <c r="C78" s="338" t="s">
        <v>130</v>
      </c>
      <c r="D78" s="339" t="s">
        <v>131</v>
      </c>
      <c r="E78" s="339" t="s">
        <v>130</v>
      </c>
      <c r="F78" s="339" t="s">
        <v>131</v>
      </c>
      <c r="G78" s="339" t="s">
        <v>130</v>
      </c>
      <c r="H78" s="340" t="s">
        <v>131</v>
      </c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108"/>
      <c r="V78" s="108"/>
      <c r="W78" s="108"/>
      <c r="X78" s="108"/>
      <c r="Y78" s="108"/>
      <c r="Z78" s="108"/>
      <c r="AA78" s="108"/>
      <c r="AB78" s="108"/>
      <c r="AC78" s="108"/>
      <c r="AD78" s="108"/>
      <c r="AE78" s="108"/>
      <c r="AF78" s="108"/>
      <c r="AG78" s="108"/>
      <c r="AH78" s="108"/>
      <c r="AI78" s="108"/>
      <c r="AJ78" s="108"/>
      <c r="AK78" s="108"/>
      <c r="AL78" s="108"/>
      <c r="AM78" s="108"/>
      <c r="AN78" s="108"/>
      <c r="AO78" s="108"/>
      <c r="AP78" s="108"/>
      <c r="AQ78" s="108"/>
      <c r="AR78" s="108"/>
      <c r="AS78" s="108"/>
      <c r="AT78" s="108"/>
      <c r="AU78" s="108"/>
      <c r="AV78" s="108"/>
      <c r="AW78" s="108"/>
    </row>
    <row r="79" spans="1:49" ht="15.75" thickBot="1" x14ac:dyDescent="0.3">
      <c r="A79" s="332" t="s">
        <v>140</v>
      </c>
      <c r="B79" s="333" t="s">
        <v>103</v>
      </c>
      <c r="C79" s="334">
        <f t="array" ref="C79:D79">LINEST(C198:S198,$C$201:$S$201,1,0)</f>
        <v>6.0294117647058797E-2</v>
      </c>
      <c r="D79" s="335">
        <v>20.504411764705878</v>
      </c>
      <c r="E79" s="335">
        <f t="array" ref="E79:F79">LINEST(C199:S199,$C$201:$S$201,1,0)</f>
        <v>2.2857843137254892</v>
      </c>
      <c r="F79" s="335">
        <v>22.327941176470596</v>
      </c>
      <c r="G79" s="335">
        <f t="array" ref="G79:H79">LINEST(C200:S200,$C$201:$S$201,1,0)</f>
        <v>2.8289215686274503</v>
      </c>
      <c r="H79" s="336">
        <v>36.786764705882348</v>
      </c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08"/>
      <c r="AG79" s="108"/>
      <c r="AH79" s="108"/>
      <c r="AI79" s="108"/>
      <c r="AJ79" s="108"/>
      <c r="AK79" s="108"/>
      <c r="AL79" s="108"/>
      <c r="AM79" s="108"/>
      <c r="AN79" s="108"/>
      <c r="AO79" s="108"/>
      <c r="AP79" s="108"/>
      <c r="AQ79" s="108"/>
      <c r="AR79" s="108"/>
      <c r="AS79" s="108"/>
      <c r="AT79" s="108"/>
      <c r="AU79" s="108"/>
      <c r="AV79" s="108"/>
      <c r="AW79" s="108"/>
    </row>
    <row r="80" spans="1:49" x14ac:dyDescent="0.25">
      <c r="A80" s="76"/>
      <c r="B80" s="77"/>
      <c r="C80" s="107"/>
      <c r="D80" s="107"/>
      <c r="E80" s="107"/>
      <c r="F80" s="80"/>
      <c r="G80" s="80"/>
      <c r="H80" s="80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4"/>
    </row>
    <row r="81" spans="1:49" x14ac:dyDescent="0.25">
      <c r="A81" s="154" t="s">
        <v>132</v>
      </c>
      <c r="B81" s="144"/>
      <c r="C81" s="8"/>
      <c r="D81" s="8"/>
      <c r="E81" s="8"/>
      <c r="F81" s="8"/>
      <c r="G81" s="8"/>
      <c r="H81" s="8"/>
      <c r="I81" s="8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</row>
    <row r="82" spans="1:49" x14ac:dyDescent="0.25">
      <c r="A82" s="155" t="s">
        <v>157</v>
      </c>
      <c r="B82" s="144"/>
      <c r="C82" s="8"/>
      <c r="D82" s="8"/>
      <c r="E82" s="8"/>
      <c r="F82" s="8"/>
      <c r="G82" s="8"/>
      <c r="H82" s="8"/>
      <c r="I82" s="8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</row>
    <row r="83" spans="1:49" ht="15.75" thickBot="1" x14ac:dyDescent="0.3">
      <c r="A83" s="155" t="s">
        <v>158</v>
      </c>
      <c r="B83" s="144"/>
      <c r="C83" s="8"/>
      <c r="D83" s="8"/>
      <c r="E83" s="8"/>
      <c r="F83" s="8"/>
      <c r="G83" s="8"/>
      <c r="H83" s="8"/>
      <c r="I83" s="8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</row>
    <row r="84" spans="1:49" x14ac:dyDescent="0.25">
      <c r="A84" s="528" t="s">
        <v>21</v>
      </c>
      <c r="B84" s="530" t="s">
        <v>22</v>
      </c>
      <c r="C84" s="532" t="str">
        <f>YEAR(Test_date)&amp;" год"</f>
        <v>2021 год</v>
      </c>
      <c r="D84" s="533"/>
      <c r="E84" s="533"/>
      <c r="F84" s="534"/>
      <c r="G84" s="522" t="str">
        <f>(LEFT(C84,4)+1)&amp;" год"</f>
        <v>2022 год</v>
      </c>
      <c r="H84" s="523"/>
      <c r="I84" s="523"/>
      <c r="J84" s="524"/>
      <c r="K84" s="523" t="str">
        <f>(LEFT(G84,4)+1)&amp;" год"</f>
        <v>2023 год</v>
      </c>
      <c r="L84" s="523"/>
      <c r="M84" s="523"/>
      <c r="N84" s="52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</row>
    <row r="85" spans="1:49" ht="15.75" thickBot="1" x14ac:dyDescent="0.3">
      <c r="A85" s="529"/>
      <c r="B85" s="531"/>
      <c r="C85" s="495">
        <v>1</v>
      </c>
      <c r="D85" s="496">
        <v>2</v>
      </c>
      <c r="E85" s="496">
        <v>3</v>
      </c>
      <c r="F85" s="497">
        <v>4</v>
      </c>
      <c r="G85" s="486" t="s">
        <v>0</v>
      </c>
      <c r="H85" s="476" t="s">
        <v>1</v>
      </c>
      <c r="I85" s="476" t="s">
        <v>2</v>
      </c>
      <c r="J85" s="487" t="s">
        <v>3</v>
      </c>
      <c r="K85" s="475" t="s">
        <v>0</v>
      </c>
      <c r="L85" s="476" t="s">
        <v>1</v>
      </c>
      <c r="M85" s="476" t="s">
        <v>2</v>
      </c>
      <c r="N85" s="487" t="s">
        <v>3</v>
      </c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</row>
    <row r="86" spans="1:49" x14ac:dyDescent="0.25">
      <c r="A86" s="179"/>
      <c r="B86" s="180"/>
      <c r="C86" s="181"/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2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</row>
    <row r="87" spans="1:49" x14ac:dyDescent="0.25">
      <c r="A87" s="276" t="s">
        <v>23</v>
      </c>
      <c r="B87" s="281" t="s">
        <v>135</v>
      </c>
      <c r="C87" s="283">
        <f>'2. Прогноз. Без корректировки'!C17</f>
        <v>13</v>
      </c>
      <c r="D87" s="152">
        <f>'2. Прогноз. Без корректировки'!D17</f>
        <v>20.3</v>
      </c>
      <c r="E87" s="152">
        <f>'2. Прогноз. Без корректировки'!E17</f>
        <v>9.4</v>
      </c>
      <c r="F87" s="284">
        <f>'2. Прогноз. Без корректировки'!F17</f>
        <v>11</v>
      </c>
      <c r="G87" s="283">
        <f>'2. Прогноз. Без корректировки'!H17</f>
        <v>13</v>
      </c>
      <c r="H87" s="152">
        <f>'2. Прогноз. Без корректировки'!I17</f>
        <v>20.3</v>
      </c>
      <c r="I87" s="152">
        <f>'2. Прогноз. Без корректировки'!J17</f>
        <v>9.4</v>
      </c>
      <c r="J87" s="284">
        <f>'2. Прогноз. Без корректировки'!K17</f>
        <v>11.5</v>
      </c>
      <c r="K87" s="151">
        <f>'2. Прогноз. Без корректировки'!M17</f>
        <v>13</v>
      </c>
      <c r="L87" s="152">
        <f>'2. Прогноз. Без корректировки'!N17</f>
        <v>20.3</v>
      </c>
      <c r="M87" s="152">
        <f>'2. Прогноз. Без корректировки'!O17</f>
        <v>10</v>
      </c>
      <c r="N87" s="284">
        <f>'2. Прогноз. Без корректировки'!P17</f>
        <v>11.5</v>
      </c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</row>
    <row r="88" spans="1:49" x14ac:dyDescent="0.25">
      <c r="A88" s="276" t="s">
        <v>24</v>
      </c>
      <c r="B88" s="281" t="s">
        <v>135</v>
      </c>
      <c r="C88" s="283">
        <f>'2. Прогноз. Без корректировки'!C31</f>
        <v>0.3</v>
      </c>
      <c r="D88" s="152">
        <f>'2. Прогноз. Без корректировки'!D31</f>
        <v>0.7</v>
      </c>
      <c r="E88" s="152">
        <f>'2. Прогноз. Без корректировки'!E31</f>
        <v>1.2</v>
      </c>
      <c r="F88" s="284">
        <f>'2. Прогноз. Без корректировки'!F31</f>
        <v>0.7</v>
      </c>
      <c r="G88" s="283">
        <f>'2. Прогноз. Без корректировки'!H31</f>
        <v>0.3</v>
      </c>
      <c r="H88" s="152">
        <f>'2. Прогноз. Без корректировки'!I31</f>
        <v>0.7</v>
      </c>
      <c r="I88" s="152">
        <f>'2. Прогноз. Без корректировки'!J31</f>
        <v>1.2</v>
      </c>
      <c r="J88" s="284">
        <f>'2. Прогноз. Без корректировки'!K31</f>
        <v>0.7</v>
      </c>
      <c r="K88" s="151">
        <f>'2. Прогноз. Без корректировки'!M31</f>
        <v>0.3</v>
      </c>
      <c r="L88" s="152">
        <f>'2. Прогноз. Без корректировки'!N31</f>
        <v>0.7</v>
      </c>
      <c r="M88" s="152">
        <f>'2. Прогноз. Без корректировки'!O31</f>
        <v>1.2</v>
      </c>
      <c r="N88" s="284">
        <f>'2. Прогноз. Без корректировки'!P31</f>
        <v>0.7</v>
      </c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</row>
    <row r="89" spans="1:49" s="11" customFormat="1" ht="15.75" customHeight="1" x14ac:dyDescent="0.25">
      <c r="A89" s="276" t="s">
        <v>25</v>
      </c>
      <c r="B89" s="281" t="s">
        <v>135</v>
      </c>
      <c r="C89" s="283">
        <f>'2. Прогноз. Без корректировки'!C35</f>
        <v>2.85</v>
      </c>
      <c r="D89" s="152">
        <f>'2. Прогноз. Без корректировки'!D35+C103</f>
        <v>4.165</v>
      </c>
      <c r="E89" s="152">
        <f>'2. Прогноз. Без корректировки'!E35+D103</f>
        <v>2.6219999999999999</v>
      </c>
      <c r="F89" s="284">
        <f>'2. Прогноз. Без корректировки'!F35+E103</f>
        <v>1.9009999999999982</v>
      </c>
      <c r="G89" s="283">
        <f>'2. Прогноз. Без корректировки'!H35+F103</f>
        <v>2.9569999999999999</v>
      </c>
      <c r="H89" s="152">
        <f>'2. Прогноз. Без корректировки'!I35+G103</f>
        <v>4.5110000000000001</v>
      </c>
      <c r="I89" s="152">
        <f>'2. Прогноз. Без корректировки'!J35+H103</f>
        <v>4.3390000000000004</v>
      </c>
      <c r="J89" s="284">
        <f>'2. Прогноз. Без корректировки'!K35+I103</f>
        <v>4.21</v>
      </c>
      <c r="K89" s="151">
        <f>'2. Прогноз. Без корректировки'!M35+J103</f>
        <v>4.1669999999999998</v>
      </c>
      <c r="L89" s="152">
        <f>'2. Прогноз. Без корректировки'!N35+K103</f>
        <v>5.7770000000000001</v>
      </c>
      <c r="M89" s="152">
        <f>'2. Прогноз. Без корректировки'!O35+L103</f>
        <v>6.5710000000000006</v>
      </c>
      <c r="N89" s="284">
        <f>'2. Прогноз. Без корректировки'!P35+M103</f>
        <v>6.4420000000000002</v>
      </c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</row>
    <row r="90" spans="1:49" ht="18" customHeight="1" x14ac:dyDescent="0.25">
      <c r="A90" s="277" t="s">
        <v>26</v>
      </c>
      <c r="B90" s="282" t="s">
        <v>135</v>
      </c>
      <c r="C90" s="285">
        <f>(MIN(D45,I45,N45,S45,X45,AC45,AH45))</f>
        <v>2.9430000000000001</v>
      </c>
      <c r="D90" s="286">
        <f>(MIN(E45,J45,O45,T45,Y45,AD45,AI45))</f>
        <v>1.137</v>
      </c>
      <c r="E90" s="286">
        <f>(MIN(F45,K45,P45,U45,Z45,AE45,AJ45))</f>
        <v>0.8</v>
      </c>
      <c r="F90" s="287">
        <f>(MIN(G45,L45,Q45,V45,AA45,AF45,AK45))</f>
        <v>3</v>
      </c>
      <c r="G90" s="285">
        <f>(MIN(D45,I45,N45,S45,X45,AC45,AH45))</f>
        <v>2.9430000000000001</v>
      </c>
      <c r="H90" s="286">
        <f>(MIN(E45,J45,O45,T45,Y45,AD45,AI45))</f>
        <v>1.137</v>
      </c>
      <c r="I90" s="286">
        <f>(MIN(F45,K45,P45,U45,Z45,AE45,AJ45))</f>
        <v>0.8</v>
      </c>
      <c r="J90" s="287">
        <f>(MIN(G45,L45,Q45,V45,AA45,AF45,AK45))</f>
        <v>3</v>
      </c>
      <c r="K90" s="288">
        <f>(MIN(D45,I45,N45,S45,X45,AC45,AH45))</f>
        <v>2.9430000000000001</v>
      </c>
      <c r="L90" s="286">
        <f>(MIN(E45,J45,O45,T45,Y45,AD45,AI45))</f>
        <v>1.137</v>
      </c>
      <c r="M90" s="286">
        <f>(MIN(F45,K45,P45,U45,Z45,AE45,AJ45))</f>
        <v>0.8</v>
      </c>
      <c r="N90" s="287">
        <f>(MIN(G45,L45,Q45,V45,AA45,AF45,AK45))</f>
        <v>3</v>
      </c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</row>
    <row r="91" spans="1:49" x14ac:dyDescent="0.25">
      <c r="A91" s="183" t="s">
        <v>27</v>
      </c>
      <c r="B91" s="274"/>
      <c r="C91" s="289"/>
      <c r="D91" s="289"/>
      <c r="E91" s="289"/>
      <c r="F91" s="289"/>
      <c r="G91" s="289"/>
      <c r="H91" s="289"/>
      <c r="I91" s="289"/>
      <c r="J91" s="289"/>
      <c r="K91" s="289"/>
      <c r="L91" s="289"/>
      <c r="M91" s="289"/>
      <c r="N91" s="290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</row>
    <row r="92" spans="1:49" ht="60" x14ac:dyDescent="0.25">
      <c r="A92" s="278" t="s">
        <v>28</v>
      </c>
      <c r="B92" s="281" t="s">
        <v>135</v>
      </c>
      <c r="C92" s="291">
        <f>IF(C89&lt;C90,-(C89-C90),0)</f>
        <v>9.2999999999999972E-2</v>
      </c>
      <c r="D92" s="152">
        <f>IF(D89&lt;D90,-(D89-D90),0)</f>
        <v>0</v>
      </c>
      <c r="E92" s="152">
        <f t="shared" ref="E92:N92" si="8">IF(E89&lt;E90,-(E89-E90),0)</f>
        <v>0</v>
      </c>
      <c r="F92" s="284">
        <f t="shared" si="8"/>
        <v>1.0990000000000018</v>
      </c>
      <c r="G92" s="283">
        <f t="shared" si="8"/>
        <v>0</v>
      </c>
      <c r="H92" s="152">
        <f t="shared" si="8"/>
        <v>0</v>
      </c>
      <c r="I92" s="152">
        <f t="shared" si="8"/>
        <v>0</v>
      </c>
      <c r="J92" s="284">
        <f t="shared" si="8"/>
        <v>0</v>
      </c>
      <c r="K92" s="151">
        <f t="shared" si="8"/>
        <v>0</v>
      </c>
      <c r="L92" s="152">
        <f t="shared" si="8"/>
        <v>0</v>
      </c>
      <c r="M92" s="152">
        <f t="shared" si="8"/>
        <v>0</v>
      </c>
      <c r="N92" s="284">
        <f t="shared" si="8"/>
        <v>0</v>
      </c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</row>
    <row r="93" spans="1:49" ht="30" x14ac:dyDescent="0.25">
      <c r="A93" s="278" t="s">
        <v>88</v>
      </c>
      <c r="B93" s="281" t="s">
        <v>135</v>
      </c>
      <c r="C93" s="291">
        <f t="shared" ref="C93:N93" si="9">IF(C89&gt;C90,C89-C90,0)</f>
        <v>0</v>
      </c>
      <c r="D93" s="152">
        <f t="shared" si="9"/>
        <v>3.028</v>
      </c>
      <c r="E93" s="152">
        <f t="shared" si="9"/>
        <v>1.8219999999999998</v>
      </c>
      <c r="F93" s="284">
        <f t="shared" si="9"/>
        <v>0</v>
      </c>
      <c r="G93" s="283">
        <f t="shared" si="9"/>
        <v>1.399999999999979E-2</v>
      </c>
      <c r="H93" s="152">
        <f t="shared" si="9"/>
        <v>3.3740000000000001</v>
      </c>
      <c r="I93" s="152">
        <f t="shared" si="9"/>
        <v>3.5390000000000006</v>
      </c>
      <c r="J93" s="284">
        <f t="shared" si="9"/>
        <v>1.21</v>
      </c>
      <c r="K93" s="151">
        <f t="shared" si="9"/>
        <v>1.2239999999999998</v>
      </c>
      <c r="L93" s="152">
        <f t="shared" si="9"/>
        <v>4.6400000000000006</v>
      </c>
      <c r="M93" s="152">
        <f t="shared" si="9"/>
        <v>5.7710000000000008</v>
      </c>
      <c r="N93" s="284">
        <f t="shared" si="9"/>
        <v>3.4420000000000002</v>
      </c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</row>
    <row r="94" spans="1:49" x14ac:dyDescent="0.25">
      <c r="A94" s="279" t="s">
        <v>89</v>
      </c>
      <c r="B94" s="281" t="s">
        <v>135</v>
      </c>
      <c r="C94" s="291">
        <f>-MIN(C87,C93,0)</f>
        <v>0</v>
      </c>
      <c r="D94" s="152">
        <f>-MIN(D87,D93,C101)</f>
        <v>-4.6499999999999986E-2</v>
      </c>
      <c r="E94" s="152">
        <f>-MIN(E87,E93,D101)</f>
        <v>-1.7763568394002505E-15</v>
      </c>
      <c r="F94" s="284">
        <f>-MIN(F87,F93,E101)</f>
        <v>0</v>
      </c>
      <c r="G94" s="283">
        <f>-MIN(G87,G93,0)</f>
        <v>0</v>
      </c>
      <c r="H94" s="152">
        <f>-MIN(H87,H93,G101)</f>
        <v>0</v>
      </c>
      <c r="I94" s="152">
        <f>-MIN(I87,I93,H101)</f>
        <v>0</v>
      </c>
      <c r="J94" s="284">
        <f>-MIN(J87,J93,I101)</f>
        <v>0</v>
      </c>
      <c r="K94" s="151">
        <f>-MIN(K87,K93,0)</f>
        <v>0</v>
      </c>
      <c r="L94" s="152">
        <f>-MIN(L87,L93,K101)</f>
        <v>0</v>
      </c>
      <c r="M94" s="152">
        <f>-MIN(M87,M93,L101)</f>
        <v>0</v>
      </c>
      <c r="N94" s="284">
        <f>-MIN(N87,N93,M101)</f>
        <v>0</v>
      </c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</row>
    <row r="95" spans="1:49" x14ac:dyDescent="0.25">
      <c r="A95" s="279" t="s">
        <v>90</v>
      </c>
      <c r="B95" s="281" t="s">
        <v>135</v>
      </c>
      <c r="C95" s="291">
        <f>MIN(C93+C94,0)</f>
        <v>0</v>
      </c>
      <c r="D95" s="152">
        <f>MIN(D93+D94,-C102)</f>
        <v>4.6499999999999986E-2</v>
      </c>
      <c r="E95" s="152">
        <f>MIN(E93+E94,-D102)</f>
        <v>0</v>
      </c>
      <c r="F95" s="284">
        <f>MIN(F93+F94,-E102)</f>
        <v>0</v>
      </c>
      <c r="G95" s="283">
        <f t="shared" ref="G95:K95" si="10">MIN(G93+G94,0)</f>
        <v>0</v>
      </c>
      <c r="H95" s="152">
        <f>MIN(H93+H94,-G102)</f>
        <v>0</v>
      </c>
      <c r="I95" s="152">
        <f>MIN(I93+I94,-H102)</f>
        <v>0</v>
      </c>
      <c r="J95" s="284">
        <f>MIN(J93+J94,-I102)</f>
        <v>0</v>
      </c>
      <c r="K95" s="151">
        <f t="shared" si="10"/>
        <v>0</v>
      </c>
      <c r="L95" s="152">
        <f>MIN(L93+L94,-K102)</f>
        <v>0</v>
      </c>
      <c r="M95" s="152">
        <f>MIN(M93+M94,-L102)</f>
        <v>0</v>
      </c>
      <c r="N95" s="284">
        <f>MIN(N93+N94,-M102)</f>
        <v>0</v>
      </c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</row>
    <row r="96" spans="1:49" x14ac:dyDescent="0.25">
      <c r="A96" s="183" t="s">
        <v>29</v>
      </c>
      <c r="B96" s="274"/>
      <c r="C96" s="292"/>
      <c r="D96" s="292"/>
      <c r="E96" s="292"/>
      <c r="F96" s="292"/>
      <c r="G96" s="292"/>
      <c r="H96" s="292"/>
      <c r="I96" s="292"/>
      <c r="J96" s="292"/>
      <c r="K96" s="292"/>
      <c r="L96" s="292"/>
      <c r="M96" s="292"/>
      <c r="N96" s="293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</row>
    <row r="97" spans="1:49" x14ac:dyDescent="0.25">
      <c r="A97" s="276" t="s">
        <v>30</v>
      </c>
      <c r="B97" s="281" t="s">
        <v>135</v>
      </c>
      <c r="C97" s="294">
        <f>C87+C92-(C88-(C98-C95))+C94</f>
        <v>13.0465</v>
      </c>
      <c r="D97" s="295">
        <f>D87+D92-(D88-(D98-D95))+D94</f>
        <v>20.253500000000003</v>
      </c>
      <c r="E97" s="295">
        <f>E87+E92-(E88-(E98-E95))+E94</f>
        <v>9.3999999999999986</v>
      </c>
      <c r="F97" s="296">
        <f>F87+F92-(F88-(F98-F95))+F94</f>
        <v>11.549500000000002</v>
      </c>
      <c r="G97" s="294">
        <f t="shared" ref="G97:N97" si="11">G87+G92-(G88-(G98-G95))+G94</f>
        <v>13</v>
      </c>
      <c r="H97" s="295">
        <f t="shared" si="11"/>
        <v>20.3</v>
      </c>
      <c r="I97" s="295">
        <f t="shared" si="11"/>
        <v>9.4</v>
      </c>
      <c r="J97" s="296">
        <f t="shared" si="11"/>
        <v>11.5</v>
      </c>
      <c r="K97" s="297">
        <f t="shared" si="11"/>
        <v>13</v>
      </c>
      <c r="L97" s="295">
        <f t="shared" si="11"/>
        <v>20.3</v>
      </c>
      <c r="M97" s="295">
        <f t="shared" si="11"/>
        <v>10</v>
      </c>
      <c r="N97" s="296">
        <f t="shared" si="11"/>
        <v>11.5</v>
      </c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</row>
    <row r="98" spans="1:49" x14ac:dyDescent="0.25">
      <c r="A98" s="276" t="s">
        <v>31</v>
      </c>
      <c r="B98" s="281" t="s">
        <v>135</v>
      </c>
      <c r="C98" s="294">
        <f t="shared" ref="C98:N98" si="12">IF(C88&gt;=0.5*C92,C88-0.5*C92,0)+C95</f>
        <v>0.2535</v>
      </c>
      <c r="D98" s="295">
        <f>IF(D88&gt;=0.5*D92,D88-0.5*D92,0)+D95</f>
        <v>0.74649999999999994</v>
      </c>
      <c r="E98" s="295">
        <f>IF(E88&gt;=0.5*E92,E88-0.5*E92,0)+E95</f>
        <v>1.2</v>
      </c>
      <c r="F98" s="296">
        <f>IF(F88&gt;=0.5*F92,F88-0.5*F92,0)+F95</f>
        <v>0.15049999999999908</v>
      </c>
      <c r="G98" s="294">
        <f t="shared" si="12"/>
        <v>0.3</v>
      </c>
      <c r="H98" s="295">
        <f t="shared" si="12"/>
        <v>0.7</v>
      </c>
      <c r="I98" s="295">
        <f t="shared" si="12"/>
        <v>1.2</v>
      </c>
      <c r="J98" s="296">
        <f t="shared" si="12"/>
        <v>0.7</v>
      </c>
      <c r="K98" s="297">
        <f t="shared" si="12"/>
        <v>0.3</v>
      </c>
      <c r="L98" s="295">
        <f t="shared" si="12"/>
        <v>0.7</v>
      </c>
      <c r="M98" s="295">
        <f t="shared" si="12"/>
        <v>1.2</v>
      </c>
      <c r="N98" s="296">
        <f t="shared" si="12"/>
        <v>0.7</v>
      </c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</row>
    <row r="99" spans="1:49" x14ac:dyDescent="0.25">
      <c r="A99" s="276" t="s">
        <v>32</v>
      </c>
      <c r="B99" s="281" t="s">
        <v>135</v>
      </c>
      <c r="C99" s="283">
        <f>C89+C92-C95+C94</f>
        <v>2.9430000000000001</v>
      </c>
      <c r="D99" s="152">
        <f>D89+D92-D95+D94</f>
        <v>4.0720000000000001</v>
      </c>
      <c r="E99" s="152">
        <f>E89+E92-E95+E94</f>
        <v>2.6219999999999981</v>
      </c>
      <c r="F99" s="284">
        <f>F89+F92-F95+F94</f>
        <v>3</v>
      </c>
      <c r="G99" s="283">
        <f t="shared" ref="G99:N99" si="13">G89+G92-G95+G94</f>
        <v>2.9569999999999999</v>
      </c>
      <c r="H99" s="152">
        <f t="shared" si="13"/>
        <v>4.5110000000000001</v>
      </c>
      <c r="I99" s="152">
        <f t="shared" si="13"/>
        <v>4.3390000000000004</v>
      </c>
      <c r="J99" s="284">
        <f t="shared" si="13"/>
        <v>4.21</v>
      </c>
      <c r="K99" s="151">
        <f t="shared" si="13"/>
        <v>4.1669999999999998</v>
      </c>
      <c r="L99" s="152">
        <f t="shared" si="13"/>
        <v>5.7770000000000001</v>
      </c>
      <c r="M99" s="152">
        <f t="shared" si="13"/>
        <v>6.5710000000000006</v>
      </c>
      <c r="N99" s="284">
        <f t="shared" si="13"/>
        <v>6.4420000000000002</v>
      </c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</row>
    <row r="100" spans="1:49" x14ac:dyDescent="0.25">
      <c r="A100" s="183" t="s">
        <v>33</v>
      </c>
      <c r="B100" s="274"/>
      <c r="C100" s="292"/>
      <c r="D100" s="292"/>
      <c r="E100" s="292"/>
      <c r="F100" s="292"/>
      <c r="G100" s="292"/>
      <c r="H100" s="292"/>
      <c r="I100" s="292"/>
      <c r="J100" s="292"/>
      <c r="K100" s="292"/>
      <c r="L100" s="292"/>
      <c r="M100" s="292"/>
      <c r="N100" s="293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</row>
    <row r="101" spans="1:49" x14ac:dyDescent="0.25">
      <c r="A101" s="276" t="s">
        <v>34</v>
      </c>
      <c r="B101" s="281" t="s">
        <v>135</v>
      </c>
      <c r="C101" s="283">
        <f>C97-C87</f>
        <v>4.6499999999999986E-2</v>
      </c>
      <c r="D101" s="152">
        <f>D97-D87+C101</f>
        <v>1.7763568394002505E-15</v>
      </c>
      <c r="E101" s="152">
        <f t="shared" ref="D101:F103" si="14">E97-E87+D101</f>
        <v>0</v>
      </c>
      <c r="F101" s="284">
        <f t="shared" si="14"/>
        <v>0.54950000000000188</v>
      </c>
      <c r="G101" s="283">
        <f>G97-G87</f>
        <v>0</v>
      </c>
      <c r="H101" s="152">
        <f t="shared" ref="H101:J103" si="15">H97-H87+G101</f>
        <v>0</v>
      </c>
      <c r="I101" s="152">
        <f t="shared" si="15"/>
        <v>0</v>
      </c>
      <c r="J101" s="284">
        <f t="shared" si="15"/>
        <v>0</v>
      </c>
      <c r="K101" s="151">
        <f>K97-K87</f>
        <v>0</v>
      </c>
      <c r="L101" s="152">
        <f t="shared" ref="L101:N103" si="16">L97-L87+K101</f>
        <v>0</v>
      </c>
      <c r="M101" s="152">
        <f t="shared" si="16"/>
        <v>0</v>
      </c>
      <c r="N101" s="284">
        <f t="shared" si="16"/>
        <v>0</v>
      </c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</row>
    <row r="102" spans="1:49" x14ac:dyDescent="0.25">
      <c r="A102" s="276" t="s">
        <v>35</v>
      </c>
      <c r="B102" s="281" t="s">
        <v>135</v>
      </c>
      <c r="C102" s="283">
        <f>C98-C88</f>
        <v>-4.6499999999999986E-2</v>
      </c>
      <c r="D102" s="152">
        <f t="shared" si="14"/>
        <v>0</v>
      </c>
      <c r="E102" s="152">
        <f t="shared" si="14"/>
        <v>0</v>
      </c>
      <c r="F102" s="284">
        <f t="shared" si="14"/>
        <v>-0.54950000000000088</v>
      </c>
      <c r="G102" s="283">
        <f>G98-G88</f>
        <v>0</v>
      </c>
      <c r="H102" s="152">
        <f t="shared" si="15"/>
        <v>0</v>
      </c>
      <c r="I102" s="152">
        <f t="shared" si="15"/>
        <v>0</v>
      </c>
      <c r="J102" s="284">
        <f t="shared" si="15"/>
        <v>0</v>
      </c>
      <c r="K102" s="151">
        <f>K98-K88</f>
        <v>0</v>
      </c>
      <c r="L102" s="152">
        <f t="shared" si="16"/>
        <v>0</v>
      </c>
      <c r="M102" s="152">
        <f t="shared" si="16"/>
        <v>0</v>
      </c>
      <c r="N102" s="284">
        <f t="shared" si="16"/>
        <v>0</v>
      </c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</row>
    <row r="103" spans="1:49" ht="15.75" thickBot="1" x14ac:dyDescent="0.3">
      <c r="A103" s="280" t="s">
        <v>36</v>
      </c>
      <c r="B103" s="45" t="s">
        <v>135</v>
      </c>
      <c r="C103" s="298">
        <f>C99-C89</f>
        <v>9.2999999999999972E-2</v>
      </c>
      <c r="D103" s="299">
        <f>D99-D89+C103</f>
        <v>0</v>
      </c>
      <c r="E103" s="299">
        <f>E99-E89+D103</f>
        <v>-1.7763568394002505E-15</v>
      </c>
      <c r="F103" s="300">
        <f t="shared" si="14"/>
        <v>1.099</v>
      </c>
      <c r="G103" s="298">
        <f>G99-G89+F103</f>
        <v>1.099</v>
      </c>
      <c r="H103" s="299">
        <f t="shared" si="15"/>
        <v>1.099</v>
      </c>
      <c r="I103" s="299">
        <f t="shared" si="15"/>
        <v>1.099</v>
      </c>
      <c r="J103" s="300">
        <f t="shared" si="15"/>
        <v>1.099</v>
      </c>
      <c r="K103" s="301">
        <f>K99-K89+J103</f>
        <v>1.099</v>
      </c>
      <c r="L103" s="299">
        <f t="shared" si="16"/>
        <v>1.099</v>
      </c>
      <c r="M103" s="299">
        <f t="shared" si="16"/>
        <v>1.099</v>
      </c>
      <c r="N103" s="300">
        <f t="shared" si="16"/>
        <v>1.099</v>
      </c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</row>
    <row r="197" spans="1:19" ht="15.75" hidden="1" outlineLevel="1" thickBot="1" x14ac:dyDescent="0.3">
      <c r="A197" s="128" t="s">
        <v>13</v>
      </c>
      <c r="B197" s="100" t="s">
        <v>37</v>
      </c>
      <c r="C197" s="99" t="s">
        <v>111</v>
      </c>
      <c r="D197" s="101" t="s">
        <v>112</v>
      </c>
      <c r="E197" s="101" t="s">
        <v>113</v>
      </c>
      <c r="F197" s="101" t="s">
        <v>114</v>
      </c>
      <c r="G197" s="101" t="s">
        <v>115</v>
      </c>
      <c r="H197" s="101" t="s">
        <v>116</v>
      </c>
      <c r="I197" s="101" t="s">
        <v>117</v>
      </c>
      <c r="J197" s="101" t="s">
        <v>118</v>
      </c>
      <c r="K197" s="101" t="s">
        <v>119</v>
      </c>
      <c r="L197" s="101" t="s">
        <v>120</v>
      </c>
      <c r="M197" s="101" t="s">
        <v>83</v>
      </c>
      <c r="N197" s="101" t="s">
        <v>84</v>
      </c>
      <c r="O197" s="101" t="s">
        <v>85</v>
      </c>
      <c r="P197" s="101" t="s">
        <v>86</v>
      </c>
      <c r="Q197" s="101" t="s">
        <v>80</v>
      </c>
      <c r="R197" s="101" t="s">
        <v>81</v>
      </c>
      <c r="S197" s="102" t="s">
        <v>82</v>
      </c>
    </row>
    <row r="198" spans="1:19" hidden="1" outlineLevel="1" x14ac:dyDescent="0.25">
      <c r="A198" s="194" t="s">
        <v>121</v>
      </c>
      <c r="B198" s="195" t="s">
        <v>103</v>
      </c>
      <c r="C198" s="326">
        <f>C72</f>
        <v>20</v>
      </c>
      <c r="D198" s="327">
        <f t="shared" ref="D198:S198" si="17">D72</f>
        <v>20</v>
      </c>
      <c r="E198" s="327">
        <f t="shared" si="17"/>
        <v>20</v>
      </c>
      <c r="F198" s="327">
        <f t="shared" si="17"/>
        <v>20</v>
      </c>
      <c r="G198" s="327">
        <f t="shared" si="17"/>
        <v>20</v>
      </c>
      <c r="H198" s="327">
        <f t="shared" si="17"/>
        <v>20</v>
      </c>
      <c r="I198" s="327">
        <f t="shared" si="17"/>
        <v>20</v>
      </c>
      <c r="J198" s="327">
        <f t="shared" si="17"/>
        <v>20</v>
      </c>
      <c r="K198" s="327">
        <f t="shared" si="17"/>
        <v>20</v>
      </c>
      <c r="L198" s="327">
        <f t="shared" si="17"/>
        <v>20</v>
      </c>
      <c r="M198" s="327">
        <f t="shared" si="17"/>
        <v>30</v>
      </c>
      <c r="N198" s="327">
        <f t="shared" si="17"/>
        <v>25</v>
      </c>
      <c r="O198" s="327">
        <f t="shared" si="17"/>
        <v>25</v>
      </c>
      <c r="P198" s="327">
        <f t="shared" si="17"/>
        <v>23.2</v>
      </c>
      <c r="Q198" s="327">
        <f t="shared" si="17"/>
        <v>20</v>
      </c>
      <c r="R198" s="327">
        <f t="shared" si="17"/>
        <v>23.2</v>
      </c>
      <c r="S198" s="328">
        <f t="shared" si="17"/>
        <v>11.4</v>
      </c>
    </row>
    <row r="199" spans="1:19" hidden="1" outlineLevel="1" x14ac:dyDescent="0.25">
      <c r="A199" s="196" t="s">
        <v>122</v>
      </c>
      <c r="B199" s="197" t="s">
        <v>103</v>
      </c>
      <c r="C199" s="200">
        <f t="shared" ref="C199:S199" si="18">C73</f>
        <v>18</v>
      </c>
      <c r="D199" s="201">
        <f t="shared" si="18"/>
        <v>18</v>
      </c>
      <c r="E199" s="201">
        <f t="shared" si="18"/>
        <v>18</v>
      </c>
      <c r="F199" s="201">
        <f t="shared" si="18"/>
        <v>18</v>
      </c>
      <c r="G199" s="201">
        <f t="shared" si="18"/>
        <v>18</v>
      </c>
      <c r="H199" s="201">
        <f t="shared" si="18"/>
        <v>60</v>
      </c>
      <c r="I199" s="201">
        <f t="shared" si="18"/>
        <v>60</v>
      </c>
      <c r="J199" s="201">
        <f t="shared" si="18"/>
        <v>60</v>
      </c>
      <c r="K199" s="201">
        <f t="shared" si="18"/>
        <v>60</v>
      </c>
      <c r="L199" s="201">
        <f t="shared" si="18"/>
        <v>60</v>
      </c>
      <c r="M199" s="201">
        <f t="shared" si="18"/>
        <v>60</v>
      </c>
      <c r="N199" s="201">
        <f t="shared" si="18"/>
        <v>50</v>
      </c>
      <c r="O199" s="201">
        <f t="shared" si="18"/>
        <v>21.3</v>
      </c>
      <c r="P199" s="201">
        <f t="shared" si="18"/>
        <v>51</v>
      </c>
      <c r="Q199" s="201">
        <f t="shared" si="18"/>
        <v>21.3</v>
      </c>
      <c r="R199" s="201">
        <f t="shared" si="18"/>
        <v>51</v>
      </c>
      <c r="S199" s="202">
        <f t="shared" si="18"/>
        <v>84.7</v>
      </c>
    </row>
    <row r="200" spans="1:19" hidden="1" outlineLevel="1" x14ac:dyDescent="0.25">
      <c r="A200" s="196" t="s">
        <v>123</v>
      </c>
      <c r="B200" s="197" t="s">
        <v>103</v>
      </c>
      <c r="C200" s="200">
        <f t="shared" ref="C200:S200" si="19">C74</f>
        <v>45.3</v>
      </c>
      <c r="D200" s="201">
        <f t="shared" si="19"/>
        <v>45.3</v>
      </c>
      <c r="E200" s="201">
        <f t="shared" si="19"/>
        <v>45.3</v>
      </c>
      <c r="F200" s="201">
        <f t="shared" si="19"/>
        <v>45.3</v>
      </c>
      <c r="G200" s="201">
        <f t="shared" si="19"/>
        <v>45.3</v>
      </c>
      <c r="H200" s="201">
        <f t="shared" si="19"/>
        <v>45.3</v>
      </c>
      <c r="I200" s="201">
        <f t="shared" si="19"/>
        <v>45.3</v>
      </c>
      <c r="J200" s="201">
        <f t="shared" si="19"/>
        <v>45.3</v>
      </c>
      <c r="K200" s="201">
        <f t="shared" si="19"/>
        <v>45.3</v>
      </c>
      <c r="L200" s="201">
        <f t="shared" si="19"/>
        <v>45.3</v>
      </c>
      <c r="M200" s="201">
        <f t="shared" si="19"/>
        <v>140</v>
      </c>
      <c r="N200" s="201">
        <f t="shared" si="19"/>
        <v>140</v>
      </c>
      <c r="O200" s="201">
        <f t="shared" si="19"/>
        <v>45.3</v>
      </c>
      <c r="P200" s="201">
        <f t="shared" si="19"/>
        <v>70</v>
      </c>
      <c r="Q200" s="201">
        <f t="shared" si="19"/>
        <v>45.3</v>
      </c>
      <c r="R200" s="201">
        <f t="shared" si="19"/>
        <v>80.099999999999994</v>
      </c>
      <c r="S200" s="202">
        <f t="shared" si="19"/>
        <v>84.5</v>
      </c>
    </row>
    <row r="201" spans="1:19" ht="15.75" hidden="1" outlineLevel="1" thickBot="1" x14ac:dyDescent="0.3">
      <c r="A201" s="198" t="s">
        <v>124</v>
      </c>
      <c r="B201" s="199" t="s">
        <v>103</v>
      </c>
      <c r="C201" s="206">
        <v>1</v>
      </c>
      <c r="D201" s="207">
        <v>2</v>
      </c>
      <c r="E201" s="207">
        <v>3</v>
      </c>
      <c r="F201" s="207">
        <v>4</v>
      </c>
      <c r="G201" s="207">
        <v>5</v>
      </c>
      <c r="H201" s="207">
        <v>6</v>
      </c>
      <c r="I201" s="207">
        <v>7</v>
      </c>
      <c r="J201" s="207">
        <v>8</v>
      </c>
      <c r="K201" s="207">
        <v>9</v>
      </c>
      <c r="L201" s="207">
        <v>10</v>
      </c>
      <c r="M201" s="207">
        <v>11</v>
      </c>
      <c r="N201" s="207">
        <v>12</v>
      </c>
      <c r="O201" s="207">
        <v>13</v>
      </c>
      <c r="P201" s="207">
        <v>14</v>
      </c>
      <c r="Q201" s="207">
        <v>15</v>
      </c>
      <c r="R201" s="207">
        <v>16</v>
      </c>
      <c r="S201" s="208">
        <v>17</v>
      </c>
    </row>
    <row r="202" spans="1:19" hidden="1" outlineLevel="1" x14ac:dyDescent="0.25"/>
    <row r="203" spans="1:19" collapsed="1" x14ac:dyDescent="0.25"/>
    <row r="462" spans="3:52" x14ac:dyDescent="0.25">
      <c r="C462" s="4">
        <v>20</v>
      </c>
      <c r="D462" s="4">
        <v>21</v>
      </c>
      <c r="E462" s="4">
        <v>22</v>
      </c>
      <c r="F462" s="4">
        <v>23</v>
      </c>
      <c r="G462" s="4">
        <v>24</v>
      </c>
      <c r="H462" s="4">
        <v>25</v>
      </c>
      <c r="I462" s="4">
        <v>26</v>
      </c>
      <c r="J462" s="4">
        <v>27</v>
      </c>
      <c r="K462" s="4">
        <v>28</v>
      </c>
      <c r="L462" s="4">
        <v>29</v>
      </c>
      <c r="M462" s="4">
        <v>30</v>
      </c>
      <c r="N462" s="4">
        <v>31</v>
      </c>
      <c r="O462" s="4">
        <v>32</v>
      </c>
      <c r="P462" s="4">
        <v>33</v>
      </c>
      <c r="Q462" s="4">
        <v>34</v>
      </c>
      <c r="R462" s="4">
        <v>35</v>
      </c>
      <c r="S462" s="4">
        <v>36</v>
      </c>
      <c r="T462" s="4">
        <v>37</v>
      </c>
      <c r="U462" s="4">
        <v>38</v>
      </c>
      <c r="V462" s="4">
        <v>39</v>
      </c>
      <c r="W462" s="4">
        <v>40</v>
      </c>
      <c r="X462" s="4">
        <v>41</v>
      </c>
      <c r="AY462" t="s">
        <v>59</v>
      </c>
      <c r="AZ462" t="s">
        <v>57</v>
      </c>
    </row>
  </sheetData>
  <sheetProtection algorithmName="SHA-512" hashValue="bXxSBp1AIQlrTeLkQgTE3brjsijLuJDhCplfU8SrWnuHvdAJbTlUzOz6kpw9nDCqgzkKRpsthnMI7l1f1sVCVQ==" saltValue="1FG5bb5V/sdbK3XKXmiPxQ==" spinCount="100000" sheet="1" objects="1" scenarios="1"/>
  <mergeCells count="36">
    <mergeCell ref="H23:H24"/>
    <mergeCell ref="A23:A24"/>
    <mergeCell ref="S43:V43"/>
    <mergeCell ref="A43:A44"/>
    <mergeCell ref="B43:B44"/>
    <mergeCell ref="C43:C44"/>
    <mergeCell ref="D43:G43"/>
    <mergeCell ref="B23:B24"/>
    <mergeCell ref="D23:G23"/>
    <mergeCell ref="C23:C24"/>
    <mergeCell ref="M23:M24"/>
    <mergeCell ref="N23:Q23"/>
    <mergeCell ref="I23:L23"/>
    <mergeCell ref="M43:M44"/>
    <mergeCell ref="A84:A85"/>
    <mergeCell ref="B84:B85"/>
    <mergeCell ref="C84:F84"/>
    <mergeCell ref="G84:J84"/>
    <mergeCell ref="H43:H44"/>
    <mergeCell ref="A51:A52"/>
    <mergeCell ref="I43:L43"/>
    <mergeCell ref="K84:N84"/>
    <mergeCell ref="N43:Q43"/>
    <mergeCell ref="C77:D77"/>
    <mergeCell ref="E77:F77"/>
    <mergeCell ref="G77:H77"/>
    <mergeCell ref="B51:B52"/>
    <mergeCell ref="C51:C52"/>
    <mergeCell ref="D51:G51"/>
    <mergeCell ref="W43:W44"/>
    <mergeCell ref="R43:R44"/>
    <mergeCell ref="AH43:AK43"/>
    <mergeCell ref="X43:AA43"/>
    <mergeCell ref="AB43:AB44"/>
    <mergeCell ref="AC43:AF43"/>
    <mergeCell ref="AG43:AG44"/>
  </mergeCells>
  <phoneticPr fontId="19" type="noConversion"/>
  <dataValidations count="4">
    <dataValidation type="list" allowBlank="1" showInputMessage="1" showErrorMessage="1" sqref="I1">
      <formula1>Продукт</formula1>
      <formula2>0</formula2>
    </dataValidation>
    <dataValidation type="decimal" operator="greaterThan" allowBlank="1" showInputMessage="1" showErrorMessage="1" errorTitle="Недопустимое значение" error="Вы ввели недопустимое значение (текст). В ячейках допускает ввод только числовых значений." sqref="C13:E13 C10:H12">
      <formula1>-1000000</formula1>
    </dataValidation>
    <dataValidation type="decimal" operator="greaterThan" allowBlank="1" showInputMessage="1" showErrorMessage="1" errorTitle="Недопустимое значение" error="Вы ввели недопустимое значение (текст). В ячейках допускает ввод только числовых значений." sqref="I19:L19 D19:G19 F54:G56 N19:Q19 D54:D56 E56 D25 D26:G33 I26:L33 N26:Q33 D53:G55">
      <formula1>-1000000000</formula1>
    </dataValidation>
    <dataValidation type="decimal" operator="greaterThan" allowBlank="1" showInputMessage="1" showErrorMessage="1" sqref="D45:G45 I45:L45 N45:Q45 S45:V45 C62:H62 C72:S74">
      <formula1>-1000000000</formula1>
    </dataValidation>
  </dataValidations>
  <pageMargins left="0.7" right="0.7" top="0.75" bottom="0.75" header="0.51180555555555496" footer="0.51180555555555496"/>
  <pageSetup paperSize="9" firstPageNumber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outlinePr summaryBelow="0" summaryRight="0"/>
  </sheetPr>
  <dimension ref="A1:IV165"/>
  <sheetViews>
    <sheetView showGridLines="0" zoomScale="95" zoomScaleNormal="9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J20" sqref="J20"/>
    </sheetView>
  </sheetViews>
  <sheetFormatPr defaultColWidth="8.5703125" defaultRowHeight="15" outlineLevelRow="2" x14ac:dyDescent="0.25"/>
  <cols>
    <col min="1" max="1" width="61.42578125" style="10" customWidth="1"/>
    <col min="2" max="2" width="10.5703125" style="73" customWidth="1"/>
    <col min="3" max="17" width="13.85546875" style="17" customWidth="1"/>
    <col min="18" max="18" width="9.42578125" customWidth="1"/>
    <col min="19" max="19" width="35.140625" customWidth="1"/>
    <col min="20" max="20" width="10.42578125" customWidth="1"/>
  </cols>
  <sheetData>
    <row r="1" spans="1:256" ht="15" customHeight="1" outlineLevel="1" x14ac:dyDescent="0.25">
      <c r="A1" s="13"/>
      <c r="B1" s="72" t="s">
        <v>10</v>
      </c>
      <c r="R1" s="4"/>
    </row>
    <row r="2" spans="1:256" ht="15" customHeight="1" outlineLevel="1" x14ac:dyDescent="0.25">
      <c r="A2" s="12" t="s">
        <v>9</v>
      </c>
      <c r="B2" s="470"/>
    </row>
    <row r="3" spans="1:256" ht="15" customHeight="1" outlineLevel="1" x14ac:dyDescent="0.25">
      <c r="A3" s="12" t="s">
        <v>54</v>
      </c>
      <c r="B3" s="225"/>
    </row>
    <row r="4" spans="1:256" ht="15" customHeight="1" outlineLevel="1" x14ac:dyDescent="0.25">
      <c r="A4" s="12" t="s">
        <v>52</v>
      </c>
      <c r="B4" s="35"/>
    </row>
    <row r="5" spans="1:256" ht="15" customHeight="1" outlineLevel="1" x14ac:dyDescent="0.25">
      <c r="A5" s="12" t="s">
        <v>53</v>
      </c>
      <c r="B5" s="452"/>
      <c r="E5" s="32"/>
      <c r="F5" s="32"/>
      <c r="L5" s="32"/>
    </row>
    <row r="6" spans="1:256" ht="15" customHeight="1" thickBot="1" x14ac:dyDescent="0.3">
      <c r="R6" s="11"/>
      <c r="S6" s="11"/>
      <c r="T6" s="11"/>
      <c r="U6" s="11"/>
    </row>
    <row r="7" spans="1:256" ht="15" customHeight="1" x14ac:dyDescent="0.25">
      <c r="A7" s="549" t="s">
        <v>16</v>
      </c>
      <c r="B7" s="540" t="s">
        <v>37</v>
      </c>
      <c r="C7" s="543" t="str">
        <f>YEAR(Date)&amp;" год"</f>
        <v>2021 год</v>
      </c>
      <c r="D7" s="526"/>
      <c r="E7" s="526"/>
      <c r="F7" s="527"/>
      <c r="G7" s="520" t="str">
        <f>C7</f>
        <v>2021 год</v>
      </c>
      <c r="H7" s="543" t="str">
        <f>(LEFT(C7,4)+1)&amp;" год"</f>
        <v>2022 год</v>
      </c>
      <c r="I7" s="526"/>
      <c r="J7" s="526"/>
      <c r="K7" s="527"/>
      <c r="L7" s="520" t="str">
        <f>H7</f>
        <v>2022 год</v>
      </c>
      <c r="M7" s="543" t="str">
        <f>(LEFT(H7,4)+1)&amp;" год"</f>
        <v>2023 год</v>
      </c>
      <c r="N7" s="526"/>
      <c r="O7" s="526"/>
      <c r="P7" s="527"/>
      <c r="Q7" s="520" t="str">
        <f>M7</f>
        <v>2023 год</v>
      </c>
      <c r="R7" s="11"/>
      <c r="S7" s="11"/>
      <c r="T7" s="11"/>
      <c r="U7" s="11"/>
    </row>
    <row r="8" spans="1:256" ht="15" customHeight="1" thickBot="1" x14ac:dyDescent="0.3">
      <c r="A8" s="550"/>
      <c r="B8" s="541"/>
      <c r="C8" s="475" t="s">
        <v>0</v>
      </c>
      <c r="D8" s="476" t="s">
        <v>1</v>
      </c>
      <c r="E8" s="476" t="s">
        <v>2</v>
      </c>
      <c r="F8" s="477" t="s">
        <v>3</v>
      </c>
      <c r="G8" s="521"/>
      <c r="H8" s="475" t="s">
        <v>0</v>
      </c>
      <c r="I8" s="476" t="s">
        <v>1</v>
      </c>
      <c r="J8" s="476" t="s">
        <v>2</v>
      </c>
      <c r="K8" s="477" t="s">
        <v>3</v>
      </c>
      <c r="L8" s="521"/>
      <c r="M8" s="475" t="s">
        <v>0</v>
      </c>
      <c r="N8" s="476" t="s">
        <v>1</v>
      </c>
      <c r="O8" s="476" t="s">
        <v>2</v>
      </c>
      <c r="P8" s="477" t="s">
        <v>3</v>
      </c>
      <c r="Q8" s="521"/>
      <c r="R8" s="11"/>
      <c r="S8" s="11"/>
      <c r="T8" s="11"/>
      <c r="U8" s="11"/>
    </row>
    <row r="9" spans="1:256" s="9" customFormat="1" ht="15" customHeight="1" x14ac:dyDescent="0.25">
      <c r="A9" s="246" t="s">
        <v>39</v>
      </c>
      <c r="B9" s="251" t="s">
        <v>135</v>
      </c>
      <c r="C9" s="252">
        <f>ROUND(G9,3)</f>
        <v>3</v>
      </c>
      <c r="D9" s="253">
        <f>ROUND(C35,3)</f>
        <v>2.85</v>
      </c>
      <c r="E9" s="253">
        <f>ROUND(D35,3)</f>
        <v>4.0720000000000001</v>
      </c>
      <c r="F9" s="254">
        <f>ROUND(E35,3)</f>
        <v>2.6219999999999999</v>
      </c>
      <c r="G9" s="212">
        <f>ROUND('1. Статистика'!AK45,3)</f>
        <v>3</v>
      </c>
      <c r="H9" s="252">
        <f>ROUND(L9,3)</f>
        <v>1.901</v>
      </c>
      <c r="I9" s="253">
        <f>ROUND(H35,3)</f>
        <v>1.8580000000000001</v>
      </c>
      <c r="J9" s="253">
        <f>ROUND(I35,3)</f>
        <v>3.4119999999999999</v>
      </c>
      <c r="K9" s="254">
        <f>ROUND(J35,3)</f>
        <v>3.24</v>
      </c>
      <c r="L9" s="212">
        <f>ROUND(F35,3)</f>
        <v>1.901</v>
      </c>
      <c r="M9" s="252">
        <f>ROUND(Q9,3)</f>
        <v>3.1110000000000002</v>
      </c>
      <c r="N9" s="253">
        <f>ROUND(M35,3)</f>
        <v>3.0680000000000001</v>
      </c>
      <c r="O9" s="253">
        <f>ROUND(N35,3)</f>
        <v>4.6779999999999999</v>
      </c>
      <c r="P9" s="254">
        <f>ROUND(O35,3)</f>
        <v>5.4720000000000004</v>
      </c>
      <c r="Q9" s="212">
        <f>ROUND(K35,3)</f>
        <v>3.1110000000000002</v>
      </c>
      <c r="R9" s="11"/>
      <c r="S9" s="11"/>
      <c r="T9" s="11"/>
      <c r="U9" s="11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/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/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/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  <c r="FK9" s="60"/>
      <c r="FL9" s="60"/>
      <c r="FM9" s="60"/>
      <c r="FN9" s="60"/>
      <c r="FO9" s="60"/>
      <c r="FP9" s="60"/>
      <c r="FQ9" s="60"/>
      <c r="FR9" s="60"/>
      <c r="FS9" s="60"/>
      <c r="FT9" s="60"/>
      <c r="FU9" s="60"/>
      <c r="FV9" s="60"/>
      <c r="FW9" s="60"/>
      <c r="FX9" s="60"/>
      <c r="FY9" s="60"/>
      <c r="FZ9" s="60"/>
      <c r="GA9" s="60"/>
      <c r="GB9" s="60"/>
      <c r="GC9" s="60"/>
      <c r="GD9" s="60"/>
      <c r="GE9" s="60"/>
      <c r="GF9" s="60"/>
      <c r="GG9" s="60"/>
      <c r="GH9" s="60"/>
      <c r="GI9" s="60"/>
      <c r="GJ9" s="60"/>
      <c r="GK9" s="60"/>
      <c r="GL9" s="60"/>
      <c r="GM9" s="60"/>
      <c r="GN9" s="60"/>
      <c r="GO9" s="60"/>
      <c r="GP9" s="60"/>
      <c r="GQ9" s="60"/>
      <c r="GR9" s="60"/>
      <c r="GS9" s="60"/>
      <c r="GT9" s="60"/>
      <c r="GU9" s="60"/>
      <c r="GV9" s="60"/>
      <c r="GW9" s="60"/>
      <c r="GX9" s="60"/>
      <c r="GY9" s="60"/>
      <c r="GZ9" s="60"/>
      <c r="HA9" s="60"/>
      <c r="HB9" s="60"/>
      <c r="HC9" s="60"/>
      <c r="HD9" s="60"/>
      <c r="HE9" s="60"/>
      <c r="HF9" s="60"/>
      <c r="HG9" s="60"/>
      <c r="HH9" s="60"/>
      <c r="HI9" s="60"/>
      <c r="HJ9" s="60"/>
      <c r="HK9" s="60"/>
      <c r="HL9" s="60"/>
      <c r="HM9" s="60"/>
      <c r="HN9" s="60"/>
      <c r="HO9" s="60"/>
      <c r="HP9" s="60"/>
      <c r="HQ9" s="60"/>
      <c r="HR9" s="60"/>
      <c r="HS9" s="60"/>
      <c r="HT9" s="60"/>
      <c r="HU9" s="60"/>
      <c r="HV9" s="60"/>
      <c r="HW9" s="60"/>
      <c r="HX9" s="60"/>
      <c r="HY9" s="60"/>
      <c r="HZ9" s="60"/>
      <c r="IA9" s="60"/>
      <c r="IB9" s="60"/>
      <c r="IC9" s="60"/>
      <c r="ID9" s="60"/>
      <c r="IE9" s="60"/>
      <c r="IF9" s="60"/>
      <c r="IG9" s="60"/>
      <c r="IH9" s="60"/>
      <c r="II9" s="60"/>
      <c r="IJ9" s="60"/>
      <c r="IK9" s="60"/>
      <c r="IL9" s="60"/>
      <c r="IM9" s="60"/>
      <c r="IN9" s="60"/>
      <c r="IO9" s="60"/>
      <c r="IP9" s="60"/>
      <c r="IQ9" s="60"/>
      <c r="IR9" s="60"/>
      <c r="IS9" s="60"/>
      <c r="IT9" s="60"/>
      <c r="IU9" s="60"/>
      <c r="IV9" s="60"/>
    </row>
    <row r="10" spans="1:256" s="11" customFormat="1" ht="15" customHeight="1" x14ac:dyDescent="0.25">
      <c r="A10" s="247" t="s">
        <v>138</v>
      </c>
      <c r="B10" s="255" t="s">
        <v>135</v>
      </c>
      <c r="C10" s="256">
        <f>ROUND('1. Статистика'!D53*$G$10,3)</f>
        <v>0</v>
      </c>
      <c r="D10" s="257">
        <f>ROUND(G10-(C10+E10+F10),3)</f>
        <v>2.367</v>
      </c>
      <c r="E10" s="257">
        <f>ROUND('1. Статистика'!F53*$G$10,3)</f>
        <v>14.885</v>
      </c>
      <c r="F10" s="258">
        <f>ROUND('1. Статистика'!G53*$G$10,3)</f>
        <v>0</v>
      </c>
      <c r="G10" s="213">
        <f>ROUND((G11*G14+G12*G15+G13*G16)/10,3)</f>
        <v>17.251999999999999</v>
      </c>
      <c r="H10" s="256">
        <f>ROUND('1. Статистика'!D53*$L$10,3)</f>
        <v>0</v>
      </c>
      <c r="I10" s="256">
        <f>ROUND(L10-(H10+J10+K10),3)</f>
        <v>2.5259999999999998</v>
      </c>
      <c r="J10" s="256">
        <f>ROUND('1. Статистика'!F53*$L$10,3)</f>
        <v>15.885</v>
      </c>
      <c r="K10" s="258">
        <f>ROUND('1. Статистика'!G53*$L$10,3)</f>
        <v>0</v>
      </c>
      <c r="L10" s="213">
        <f>ROUND((L11*L14+L12*L15+L13*L16)/10,3)</f>
        <v>18.411000000000001</v>
      </c>
      <c r="M10" s="256">
        <f>ROUND('1. Статистика'!D53*$Q$10,3)</f>
        <v>0</v>
      </c>
      <c r="N10" s="256">
        <f>ROUND(Q10-(M10+O10+P10),3)</f>
        <v>2.5819999999999999</v>
      </c>
      <c r="O10" s="256">
        <f>ROUND('1. Статистика'!F53*$Q$10,3)</f>
        <v>16.236000000000001</v>
      </c>
      <c r="P10" s="258">
        <f>ROUND('1. Статистика'!G53*$Q$10,3)</f>
        <v>0</v>
      </c>
      <c r="Q10" s="213">
        <f>ROUND((Q11*Q14+Q12*Q15+Q13*Q16)/10,3)</f>
        <v>18.818000000000001</v>
      </c>
    </row>
    <row r="11" spans="1:256" s="89" customFormat="1" ht="15" customHeight="1" outlineLevel="2" x14ac:dyDescent="0.25">
      <c r="A11" s="228" t="s">
        <v>98</v>
      </c>
      <c r="B11" s="149" t="s">
        <v>99</v>
      </c>
      <c r="C11" s="259"/>
      <c r="D11" s="259"/>
      <c r="E11" s="259"/>
      <c r="F11" s="259"/>
      <c r="G11" s="226">
        <f>ROUND('1. Статистика'!F10,3)</f>
        <v>0.01</v>
      </c>
      <c r="H11" s="259"/>
      <c r="I11" s="259"/>
      <c r="J11" s="259"/>
      <c r="K11" s="259"/>
      <c r="L11" s="226">
        <f>ROUND('1. Статистика'!G10,3)</f>
        <v>0.01</v>
      </c>
      <c r="M11" s="259"/>
      <c r="N11" s="259"/>
      <c r="O11" s="259"/>
      <c r="P11" s="259"/>
      <c r="Q11" s="226">
        <f>ROUND('1. Статистика'!H10,3)</f>
        <v>0.01</v>
      </c>
    </row>
    <row r="12" spans="1:256" s="89" customFormat="1" ht="15" customHeight="1" outlineLevel="2" x14ac:dyDescent="0.25">
      <c r="A12" s="228" t="s">
        <v>100</v>
      </c>
      <c r="B12" s="149" t="s">
        <v>99</v>
      </c>
      <c r="C12" s="259"/>
      <c r="D12" s="259"/>
      <c r="E12" s="259"/>
      <c r="F12" s="259"/>
      <c r="G12" s="226">
        <f>ROUND('1. Статистика'!F11,3)</f>
        <v>0.20200000000000001</v>
      </c>
      <c r="H12" s="259"/>
      <c r="I12" s="259"/>
      <c r="J12" s="259"/>
      <c r="K12" s="259"/>
      <c r="L12" s="226">
        <f>ROUND('1. Статистика'!G11,3)</f>
        <v>0.20200000000000001</v>
      </c>
      <c r="M12" s="259"/>
      <c r="N12" s="259"/>
      <c r="O12" s="259"/>
      <c r="P12" s="259"/>
      <c r="Q12" s="226">
        <f>ROUND('1. Статистика'!H11,3)</f>
        <v>0.20200000000000001</v>
      </c>
    </row>
    <row r="13" spans="1:256" s="89" customFormat="1" ht="15" customHeight="1" outlineLevel="2" x14ac:dyDescent="0.25">
      <c r="A13" s="228" t="s">
        <v>101</v>
      </c>
      <c r="B13" s="149" t="s">
        <v>99</v>
      </c>
      <c r="C13" s="259"/>
      <c r="D13" s="259"/>
      <c r="E13" s="259"/>
      <c r="F13" s="259"/>
      <c r="G13" s="226">
        <f>ROUND('1. Статистика'!F12,3)</f>
        <v>1.931</v>
      </c>
      <c r="H13" s="259"/>
      <c r="I13" s="259"/>
      <c r="J13" s="259"/>
      <c r="K13" s="259"/>
      <c r="L13" s="226">
        <f>ROUND('1. Статистика'!G12,3)</f>
        <v>1.931</v>
      </c>
      <c r="M13" s="259"/>
      <c r="N13" s="259"/>
      <c r="O13" s="259"/>
      <c r="P13" s="259"/>
      <c r="Q13" s="226">
        <f>ROUND('1. Статистика'!H12,3)</f>
        <v>1.931</v>
      </c>
    </row>
    <row r="14" spans="1:256" s="89" customFormat="1" ht="15" customHeight="1" outlineLevel="2" x14ac:dyDescent="0.25">
      <c r="A14" s="228" t="s">
        <v>102</v>
      </c>
      <c r="B14" s="149" t="s">
        <v>103</v>
      </c>
      <c r="C14" s="259"/>
      <c r="D14" s="259"/>
      <c r="E14" s="259"/>
      <c r="F14" s="259"/>
      <c r="G14" s="231">
        <v>26.4</v>
      </c>
      <c r="H14" s="259"/>
      <c r="I14" s="259"/>
      <c r="J14" s="259"/>
      <c r="K14" s="259"/>
      <c r="L14" s="231">
        <v>27</v>
      </c>
      <c r="M14" s="259"/>
      <c r="N14" s="259"/>
      <c r="O14" s="259"/>
      <c r="P14" s="259"/>
      <c r="Q14" s="231">
        <v>27.5</v>
      </c>
    </row>
    <row r="15" spans="1:256" s="89" customFormat="1" ht="15" customHeight="1" outlineLevel="2" x14ac:dyDescent="0.25">
      <c r="A15" s="228" t="s">
        <v>104</v>
      </c>
      <c r="B15" s="149" t="s">
        <v>103</v>
      </c>
      <c r="C15" s="259"/>
      <c r="D15" s="259"/>
      <c r="E15" s="259"/>
      <c r="F15" s="259"/>
      <c r="G15" s="231">
        <v>88</v>
      </c>
      <c r="H15" s="259"/>
      <c r="I15" s="259"/>
      <c r="J15" s="259"/>
      <c r="K15" s="259"/>
      <c r="L15" s="231">
        <v>88</v>
      </c>
      <c r="M15" s="259"/>
      <c r="N15" s="259"/>
      <c r="O15" s="259"/>
      <c r="P15" s="259"/>
      <c r="Q15" s="231">
        <v>89</v>
      </c>
    </row>
    <row r="16" spans="1:256" s="89" customFormat="1" ht="15" customHeight="1" outlineLevel="2" x14ac:dyDescent="0.25">
      <c r="A16" s="228" t="s">
        <v>105</v>
      </c>
      <c r="B16" s="149" t="s">
        <v>103</v>
      </c>
      <c r="C16" s="259"/>
      <c r="D16" s="259"/>
      <c r="E16" s="259"/>
      <c r="F16" s="259"/>
      <c r="G16" s="231">
        <v>80</v>
      </c>
      <c r="H16" s="259"/>
      <c r="I16" s="259"/>
      <c r="J16" s="259"/>
      <c r="K16" s="259"/>
      <c r="L16" s="231">
        <v>86</v>
      </c>
      <c r="M16" s="259"/>
      <c r="N16" s="259"/>
      <c r="O16" s="259"/>
      <c r="P16" s="259"/>
      <c r="Q16" s="231">
        <v>88</v>
      </c>
      <c r="R16" s="90"/>
    </row>
    <row r="17" spans="1:17" x14ac:dyDescent="0.25">
      <c r="A17" s="247" t="s">
        <v>40</v>
      </c>
      <c r="B17" s="255" t="s">
        <v>135</v>
      </c>
      <c r="C17" s="257">
        <f t="shared" ref="C17:Q17" si="0">ROUND(C18+C19,3)</f>
        <v>13</v>
      </c>
      <c r="D17" s="260">
        <f t="shared" si="0"/>
        <v>20.3</v>
      </c>
      <c r="E17" s="260">
        <f t="shared" si="0"/>
        <v>9.4</v>
      </c>
      <c r="F17" s="261">
        <f t="shared" si="0"/>
        <v>11</v>
      </c>
      <c r="G17" s="213">
        <f t="shared" si="0"/>
        <v>53.7</v>
      </c>
      <c r="H17" s="256">
        <f t="shared" si="0"/>
        <v>13</v>
      </c>
      <c r="I17" s="273">
        <f t="shared" si="0"/>
        <v>20.3</v>
      </c>
      <c r="J17" s="273">
        <f t="shared" si="0"/>
        <v>9.4</v>
      </c>
      <c r="K17" s="261">
        <f t="shared" si="0"/>
        <v>11.5</v>
      </c>
      <c r="L17" s="213">
        <f t="shared" si="0"/>
        <v>54.2</v>
      </c>
      <c r="M17" s="256">
        <f t="shared" si="0"/>
        <v>13</v>
      </c>
      <c r="N17" s="273">
        <f t="shared" si="0"/>
        <v>20.3</v>
      </c>
      <c r="O17" s="273">
        <f t="shared" si="0"/>
        <v>10</v>
      </c>
      <c r="P17" s="261">
        <f t="shared" si="0"/>
        <v>11.5</v>
      </c>
      <c r="Q17" s="213">
        <f t="shared" si="0"/>
        <v>54.8</v>
      </c>
    </row>
    <row r="18" spans="1:17" s="3" customFormat="1" outlineLevel="1" x14ac:dyDescent="0.25">
      <c r="A18" s="229" t="s">
        <v>41</v>
      </c>
      <c r="B18" s="150" t="s">
        <v>135</v>
      </c>
      <c r="C18" s="214">
        <f>ROUND('1. Статистика'!N27,3)</f>
        <v>13</v>
      </c>
      <c r="D18" s="215">
        <f>ROUND('1. Статистика'!O27,3)</f>
        <v>20.3</v>
      </c>
      <c r="E18" s="215">
        <f>ROUND('1. Статистика'!P27,3)</f>
        <v>9.4</v>
      </c>
      <c r="F18" s="216">
        <f>ROUND('1. Статистика'!Q27,3)</f>
        <v>11</v>
      </c>
      <c r="G18" s="217">
        <f>ROUND(SUM(C18:F18),3)</f>
        <v>53.7</v>
      </c>
      <c r="H18" s="214">
        <f>ROUND(C17,3)</f>
        <v>13</v>
      </c>
      <c r="I18" s="215">
        <f>ROUND(D17,3)</f>
        <v>20.3</v>
      </c>
      <c r="J18" s="215">
        <f>ROUND(E17,3)</f>
        <v>9.4</v>
      </c>
      <c r="K18" s="216">
        <f>ROUND(F17,3)</f>
        <v>11</v>
      </c>
      <c r="L18" s="217">
        <f>ROUND(SUM(H18:K18),3)</f>
        <v>53.7</v>
      </c>
      <c r="M18" s="214">
        <f>ROUND(H17,3)</f>
        <v>13</v>
      </c>
      <c r="N18" s="215">
        <f>ROUND(I17,3)</f>
        <v>20.3</v>
      </c>
      <c r="O18" s="215">
        <f>ROUND(J17,3)</f>
        <v>9.4</v>
      </c>
      <c r="P18" s="216">
        <f>ROUND(K17,3)</f>
        <v>11.5</v>
      </c>
      <c r="Q18" s="217">
        <f>ROUND(SUM(M18:P18),3)</f>
        <v>54.2</v>
      </c>
    </row>
    <row r="19" spans="1:17" s="3" customFormat="1" outlineLevel="1" x14ac:dyDescent="0.25">
      <c r="A19" s="229" t="s">
        <v>42</v>
      </c>
      <c r="B19" s="150" t="s">
        <v>135</v>
      </c>
      <c r="C19" s="218"/>
      <c r="D19" s="218"/>
      <c r="E19" s="218"/>
      <c r="F19" s="219"/>
      <c r="G19" s="217">
        <f>ROUND(SUM(C19:F19),3)</f>
        <v>0</v>
      </c>
      <c r="H19" s="218"/>
      <c r="I19" s="218"/>
      <c r="J19" s="218"/>
      <c r="K19" s="219">
        <v>0.5</v>
      </c>
      <c r="L19" s="217">
        <f>ROUND(SUM(H19:K19),3)</f>
        <v>0.5</v>
      </c>
      <c r="M19" s="218"/>
      <c r="N19" s="218"/>
      <c r="O19" s="218">
        <v>0.6</v>
      </c>
      <c r="P19" s="219"/>
      <c r="Q19" s="217">
        <f>ROUND(SUM(M19:P19),3)</f>
        <v>0.6</v>
      </c>
    </row>
    <row r="20" spans="1:17" x14ac:dyDescent="0.25">
      <c r="A20" s="248" t="s">
        <v>38</v>
      </c>
      <c r="B20" s="262" t="s">
        <v>135</v>
      </c>
      <c r="C20" s="263">
        <f t="shared" ref="C20:Q20" si="1">ROUND(C9+C10+C17,3)</f>
        <v>16</v>
      </c>
      <c r="D20" s="263">
        <f t="shared" si="1"/>
        <v>25.516999999999999</v>
      </c>
      <c r="E20" s="263">
        <f t="shared" si="1"/>
        <v>28.356999999999999</v>
      </c>
      <c r="F20" s="264">
        <f t="shared" si="1"/>
        <v>13.622</v>
      </c>
      <c r="G20" s="209">
        <f t="shared" si="1"/>
        <v>73.951999999999998</v>
      </c>
      <c r="H20" s="263">
        <f t="shared" si="1"/>
        <v>14.901</v>
      </c>
      <c r="I20" s="263">
        <f t="shared" si="1"/>
        <v>24.684000000000001</v>
      </c>
      <c r="J20" s="263">
        <f t="shared" si="1"/>
        <v>28.696999999999999</v>
      </c>
      <c r="K20" s="264">
        <f t="shared" si="1"/>
        <v>14.74</v>
      </c>
      <c r="L20" s="209">
        <f t="shared" si="1"/>
        <v>74.512</v>
      </c>
      <c r="M20" s="263">
        <f t="shared" si="1"/>
        <v>16.111000000000001</v>
      </c>
      <c r="N20" s="263">
        <f t="shared" si="1"/>
        <v>25.95</v>
      </c>
      <c r="O20" s="263">
        <f t="shared" si="1"/>
        <v>30.914000000000001</v>
      </c>
      <c r="P20" s="264">
        <f t="shared" si="1"/>
        <v>16.972000000000001</v>
      </c>
      <c r="Q20" s="209">
        <f t="shared" si="1"/>
        <v>76.728999999999999</v>
      </c>
    </row>
    <row r="21" spans="1:17" s="33" customFormat="1" x14ac:dyDescent="0.25">
      <c r="A21" s="249" t="s">
        <v>106</v>
      </c>
      <c r="B21" s="265" t="s">
        <v>135</v>
      </c>
      <c r="C21" s="257">
        <f t="shared" ref="C21:Q21" si="2">ROUND(C22+C23-C24+C25,3)</f>
        <v>0</v>
      </c>
      <c r="D21" s="260">
        <f t="shared" si="2"/>
        <v>0.23</v>
      </c>
      <c r="E21" s="260">
        <f t="shared" si="2"/>
        <v>7.0000000000000007E-2</v>
      </c>
      <c r="F21" s="266">
        <f t="shared" si="2"/>
        <v>0</v>
      </c>
      <c r="G21" s="210">
        <f t="shared" si="2"/>
        <v>0.3</v>
      </c>
      <c r="H21" s="257">
        <f t="shared" si="2"/>
        <v>0</v>
      </c>
      <c r="I21" s="260">
        <f t="shared" si="2"/>
        <v>0.23</v>
      </c>
      <c r="J21" s="260">
        <f t="shared" si="2"/>
        <v>7.0000000000000007E-2</v>
      </c>
      <c r="K21" s="266">
        <f t="shared" si="2"/>
        <v>0</v>
      </c>
      <c r="L21" s="210">
        <f t="shared" si="2"/>
        <v>0.3</v>
      </c>
      <c r="M21" s="257">
        <f t="shared" si="2"/>
        <v>0</v>
      </c>
      <c r="N21" s="260">
        <f t="shared" si="2"/>
        <v>0.23</v>
      </c>
      <c r="O21" s="260">
        <f t="shared" si="2"/>
        <v>7.0000000000000007E-2</v>
      </c>
      <c r="P21" s="266">
        <f t="shared" si="2"/>
        <v>0</v>
      </c>
      <c r="Q21" s="210">
        <f t="shared" si="2"/>
        <v>0.3</v>
      </c>
    </row>
    <row r="22" spans="1:17" s="60" customFormat="1" ht="14.45" customHeight="1" outlineLevel="1" x14ac:dyDescent="0.25">
      <c r="A22" s="230" t="s">
        <v>94</v>
      </c>
      <c r="B22" s="150" t="s">
        <v>135</v>
      </c>
      <c r="C22" s="214">
        <f>ROUND('1. Статистика'!N29,3)</f>
        <v>0</v>
      </c>
      <c r="D22" s="215">
        <f>ROUND('1. Статистика'!O29,3)</f>
        <v>0.23</v>
      </c>
      <c r="E22" s="215">
        <f>ROUND('1. Статистика'!P29,3)</f>
        <v>7.0000000000000007E-2</v>
      </c>
      <c r="F22" s="216">
        <f>ROUND('1. Статистика'!Q29,3)</f>
        <v>0</v>
      </c>
      <c r="G22" s="220">
        <f>ROUND(SUM(C22:F22),3)</f>
        <v>0.3</v>
      </c>
      <c r="H22" s="214">
        <f>ROUND(C21,3)</f>
        <v>0</v>
      </c>
      <c r="I22" s="215">
        <f>ROUND(D21,3)</f>
        <v>0.23</v>
      </c>
      <c r="J22" s="215">
        <f>ROUND(E21,3)</f>
        <v>7.0000000000000007E-2</v>
      </c>
      <c r="K22" s="216">
        <f>ROUND(F21,3)</f>
        <v>0</v>
      </c>
      <c r="L22" s="220">
        <f>ROUND(SUM(H22:K22),3)</f>
        <v>0.3</v>
      </c>
      <c r="M22" s="214">
        <f>ROUND(H21,3)</f>
        <v>0</v>
      </c>
      <c r="N22" s="215">
        <f>ROUND(I21,3)</f>
        <v>0.23</v>
      </c>
      <c r="O22" s="215">
        <f>ROUND(J21,3)</f>
        <v>7.0000000000000007E-2</v>
      </c>
      <c r="P22" s="216">
        <f>ROUND(K21,3)</f>
        <v>0</v>
      </c>
      <c r="Q22" s="220">
        <f>ROUND(SUM(M22:P22),3)</f>
        <v>0.3</v>
      </c>
    </row>
    <row r="23" spans="1:17" s="60" customFormat="1" ht="30" outlineLevel="1" x14ac:dyDescent="0.25">
      <c r="A23" s="230" t="s">
        <v>44</v>
      </c>
      <c r="B23" s="158" t="s">
        <v>135</v>
      </c>
      <c r="C23" s="214">
        <f>ROUND('1. Статистика'!D19,3)</f>
        <v>0</v>
      </c>
      <c r="D23" s="214">
        <f>ROUND('1. Статистика'!E19,3)</f>
        <v>0</v>
      </c>
      <c r="E23" s="214">
        <f>ROUND('1. Статистика'!F19,3)</f>
        <v>0</v>
      </c>
      <c r="F23" s="221">
        <f>ROUND('1. Статистика'!G19,3)</f>
        <v>0</v>
      </c>
      <c r="G23" s="220">
        <f>ROUND(SUM(C23:F23),3)</f>
        <v>0</v>
      </c>
      <c r="H23" s="214">
        <f>ROUND('1. Статистика'!I19,3)</f>
        <v>0</v>
      </c>
      <c r="I23" s="214">
        <f>ROUND('1. Статистика'!J19,3)</f>
        <v>0</v>
      </c>
      <c r="J23" s="214">
        <f>ROUND('1. Статистика'!K19,3)</f>
        <v>0</v>
      </c>
      <c r="K23" s="221">
        <f>ROUND('1. Статистика'!L19,3)</f>
        <v>0</v>
      </c>
      <c r="L23" s="220">
        <f>ROUND(SUM(H23:K23),3)</f>
        <v>0</v>
      </c>
      <c r="M23" s="214">
        <f>ROUND('1. Статистика'!N19,3)</f>
        <v>0</v>
      </c>
      <c r="N23" s="214">
        <f>ROUND('1. Статистика'!O19,3)</f>
        <v>0</v>
      </c>
      <c r="O23" s="214">
        <f>ROUND('1. Статистика'!P19,3)</f>
        <v>0</v>
      </c>
      <c r="P23" s="221">
        <f>ROUND('1. Статистика'!Q19,3)</f>
        <v>0</v>
      </c>
      <c r="Q23" s="220">
        <f>ROUND(SUM(M23:P23),3)</f>
        <v>0</v>
      </c>
    </row>
    <row r="24" spans="1:17" s="60" customFormat="1" ht="30" outlineLevel="1" x14ac:dyDescent="0.25">
      <c r="A24" s="230" t="s">
        <v>45</v>
      </c>
      <c r="B24" s="158" t="s">
        <v>135</v>
      </c>
      <c r="C24" s="374"/>
      <c r="D24" s="375"/>
      <c r="E24" s="375"/>
      <c r="F24" s="376"/>
      <c r="G24" s="220">
        <f>ROUND(SUM(C24:F24),3)</f>
        <v>0</v>
      </c>
      <c r="H24" s="374"/>
      <c r="I24" s="374"/>
      <c r="J24" s="374"/>
      <c r="K24" s="374"/>
      <c r="L24" s="220">
        <f>ROUND(SUM(H24:K24),3)</f>
        <v>0</v>
      </c>
      <c r="M24" s="374"/>
      <c r="N24" s="375"/>
      <c r="O24" s="375"/>
      <c r="P24" s="376"/>
      <c r="Q24" s="220">
        <f>ROUND(SUM(M24:P24),3)</f>
        <v>0</v>
      </c>
    </row>
    <row r="25" spans="1:17" s="60" customFormat="1" ht="30" outlineLevel="1" x14ac:dyDescent="0.25">
      <c r="A25" s="230" t="s">
        <v>46</v>
      </c>
      <c r="B25" s="158" t="s">
        <v>135</v>
      </c>
      <c r="C25" s="218"/>
      <c r="D25" s="222"/>
      <c r="E25" s="222"/>
      <c r="F25" s="223"/>
      <c r="G25" s="220">
        <f>ROUND(SUM(C25:F25),3)</f>
        <v>0</v>
      </c>
      <c r="H25" s="218"/>
      <c r="I25" s="222"/>
      <c r="J25" s="222"/>
      <c r="K25" s="223"/>
      <c r="L25" s="220">
        <f>ROUND(SUM(H25:K25),3)</f>
        <v>0</v>
      </c>
      <c r="M25" s="218"/>
      <c r="N25" s="222"/>
      <c r="O25" s="222"/>
      <c r="P25" s="223"/>
      <c r="Q25" s="220">
        <f>ROUND(SUM(M25:P25),3)</f>
        <v>0</v>
      </c>
    </row>
    <row r="26" spans="1:17" s="11" customFormat="1" x14ac:dyDescent="0.25">
      <c r="A26" s="247" t="s">
        <v>107</v>
      </c>
      <c r="B26" s="267" t="s">
        <v>135</v>
      </c>
      <c r="C26" s="256">
        <f>ROUND('1. Статистика'!D55*$G$26,3)</f>
        <v>12.85</v>
      </c>
      <c r="D26" s="257">
        <f>ROUND(G26-(C26+E26+F26),3)</f>
        <v>20.515000000000001</v>
      </c>
      <c r="E26" s="257">
        <f>ROUND('1. Статистика'!F55*$G$26,3)</f>
        <v>24.236000000000001</v>
      </c>
      <c r="F26" s="268">
        <f>ROUND('1. Статистика'!G55*$G$26,3)</f>
        <v>11.021000000000001</v>
      </c>
      <c r="G26" s="210">
        <f>ROUND((G27*G28)/1000,3)</f>
        <v>68.622</v>
      </c>
      <c r="H26" s="256">
        <f>ROUND('1. Статистика'!D55*$L$26,3)</f>
        <v>12.743</v>
      </c>
      <c r="I26" s="257">
        <f>ROUND(L26-(H26+J26+K26),3)</f>
        <v>20.341999999999999</v>
      </c>
      <c r="J26" s="256">
        <f>ROUND('1. Статистика'!F55*$L$26,3)</f>
        <v>24.033999999999999</v>
      </c>
      <c r="K26" s="256">
        <f>ROUND('1. Статистика'!G55*$L$26,3)</f>
        <v>10.929</v>
      </c>
      <c r="L26" s="210">
        <f>ROUND((L27*L28)/1000,3)</f>
        <v>68.048000000000002</v>
      </c>
      <c r="M26" s="256">
        <f>ROUND('1. Статистика'!D55*$Q$26,3)</f>
        <v>12.743</v>
      </c>
      <c r="N26" s="257">
        <f>ROUND(Q26-(M26+O26+P26),3)</f>
        <v>20.341999999999999</v>
      </c>
      <c r="O26" s="256">
        <f>ROUND('1. Статистика'!F55*$Q$26,3)</f>
        <v>24.033999999999999</v>
      </c>
      <c r="P26" s="256">
        <f>ROUND('1. Статистика'!G55*$Q$26,3)</f>
        <v>10.929</v>
      </c>
      <c r="Q26" s="210">
        <f>ROUND((Q27*Q28)/1000,3)</f>
        <v>68.048000000000002</v>
      </c>
    </row>
    <row r="27" spans="1:17" s="60" customFormat="1" ht="14.45" customHeight="1" outlineLevel="1" x14ac:dyDescent="0.25">
      <c r="A27" s="229" t="s">
        <v>154</v>
      </c>
      <c r="B27" s="158" t="s">
        <v>164</v>
      </c>
      <c r="C27" s="259"/>
      <c r="D27" s="259"/>
      <c r="E27" s="259"/>
      <c r="F27" s="259"/>
      <c r="G27" s="220">
        <f>ROUND('1. Статистика'!C67,3)</f>
        <v>68.781000000000006</v>
      </c>
      <c r="H27" s="259"/>
      <c r="I27" s="259"/>
      <c r="J27" s="259"/>
      <c r="K27" s="259"/>
      <c r="L27" s="220">
        <f>ROUND('1. Статистика'!D67,3)</f>
        <v>68.781000000000006</v>
      </c>
      <c r="M27" s="259"/>
      <c r="N27" s="259"/>
      <c r="O27" s="259"/>
      <c r="P27" s="259"/>
      <c r="Q27" s="224">
        <f>ROUND('1. Статистика'!E67,3)</f>
        <v>68.781000000000006</v>
      </c>
    </row>
    <row r="28" spans="1:17" s="60" customFormat="1" ht="14.45" customHeight="1" outlineLevel="1" x14ac:dyDescent="0.25">
      <c r="A28" s="229" t="s">
        <v>162</v>
      </c>
      <c r="B28" s="150" t="s">
        <v>137</v>
      </c>
      <c r="C28" s="259"/>
      <c r="D28" s="259"/>
      <c r="E28" s="259"/>
      <c r="F28" s="259"/>
      <c r="G28" s="220">
        <f>ROUND('1. Статистика'!F62,3)</f>
        <v>997.68499999999995</v>
      </c>
      <c r="H28" s="259"/>
      <c r="I28" s="259"/>
      <c r="J28" s="259"/>
      <c r="K28" s="259"/>
      <c r="L28" s="220">
        <f>ROUND('1. Статистика'!G62,3)</f>
        <v>989.34500000000003</v>
      </c>
      <c r="M28" s="259"/>
      <c r="N28" s="259"/>
      <c r="O28" s="259"/>
      <c r="P28" s="259"/>
      <c r="Q28" s="224">
        <f>ROUND('1. Статистика'!H62,3)</f>
        <v>989.34500000000003</v>
      </c>
    </row>
    <row r="29" spans="1:17" x14ac:dyDescent="0.25">
      <c r="A29" s="247" t="s">
        <v>92</v>
      </c>
      <c r="B29" s="269" t="s">
        <v>135</v>
      </c>
      <c r="C29" s="256">
        <f>ROUND('1. Статистика'!D54*$G$29,3)</f>
        <v>0</v>
      </c>
      <c r="D29" s="257">
        <f>ROUND(G29-(C29+E29+F29),3)</f>
        <v>0</v>
      </c>
      <c r="E29" s="261">
        <f>ROUND('1. Статистика'!F54*$G$29,3)</f>
        <v>0.22900000000000001</v>
      </c>
      <c r="F29" s="261">
        <f>ROUND('1. Статистика'!G54*$G$29,3)</f>
        <v>0</v>
      </c>
      <c r="G29" s="213">
        <f>ROUND(G30*G20,3)</f>
        <v>0.22900000000000001</v>
      </c>
      <c r="H29" s="256">
        <f>ROUND('1. Статистика'!D54*$L$29,3)</f>
        <v>0</v>
      </c>
      <c r="I29" s="257">
        <f>ROUND(L29-(H29+J29+K29),3)</f>
        <v>0</v>
      </c>
      <c r="J29" s="261">
        <f>ROUND('1. Статистика'!F54*$L$29,3)</f>
        <v>0.153</v>
      </c>
      <c r="K29" s="261">
        <f>ROUND('1. Статистика'!G54*$L$29,3)</f>
        <v>0</v>
      </c>
      <c r="L29" s="213">
        <f>ROUND(L30*L20,3)</f>
        <v>0.153</v>
      </c>
      <c r="M29" s="256">
        <f>ROUND('1. Статистика'!D54*$Q$29,3)</f>
        <v>0</v>
      </c>
      <c r="N29" s="257">
        <f>ROUND(Q29-(M29+O29+P29),3)</f>
        <v>0</v>
      </c>
      <c r="O29" s="261">
        <f>ROUND('1. Статистика'!F54*$Q$29,3)</f>
        <v>0.13800000000000001</v>
      </c>
      <c r="P29" s="261">
        <f>ROUND('1. Статистика'!G54*$Q$29,3)</f>
        <v>0</v>
      </c>
      <c r="Q29" s="213">
        <f>ROUND(Q30*Q20,3)</f>
        <v>0.13800000000000001</v>
      </c>
    </row>
    <row r="30" spans="1:17" s="469" customFormat="1" outlineLevel="1" x14ac:dyDescent="0.25">
      <c r="A30" s="229" t="s">
        <v>47</v>
      </c>
      <c r="B30" s="150" t="s">
        <v>148</v>
      </c>
      <c r="C30" s="466"/>
      <c r="D30" s="467"/>
      <c r="E30" s="467"/>
      <c r="F30" s="468"/>
      <c r="G30" s="519">
        <v>3.0999999999999999E-3</v>
      </c>
      <c r="H30" s="466"/>
      <c r="I30" s="467"/>
      <c r="J30" s="467"/>
      <c r="K30" s="468"/>
      <c r="L30" s="519">
        <v>2.0500000000000002E-3</v>
      </c>
      <c r="M30" s="466"/>
      <c r="N30" s="467"/>
      <c r="O30" s="467"/>
      <c r="P30" s="468"/>
      <c r="Q30" s="519">
        <v>1.8E-3</v>
      </c>
    </row>
    <row r="31" spans="1:17" s="11" customFormat="1" x14ac:dyDescent="0.25">
      <c r="A31" s="247" t="s">
        <v>93</v>
      </c>
      <c r="B31" s="267" t="s">
        <v>135</v>
      </c>
      <c r="C31" s="257">
        <f t="shared" ref="C31:Q31" si="3">ROUND(C32+C33,3)</f>
        <v>0.3</v>
      </c>
      <c r="D31" s="260">
        <f t="shared" si="3"/>
        <v>0.7</v>
      </c>
      <c r="E31" s="260">
        <f t="shared" si="3"/>
        <v>1.2</v>
      </c>
      <c r="F31" s="266">
        <f t="shared" si="3"/>
        <v>0.7</v>
      </c>
      <c r="G31" s="210">
        <f t="shared" si="3"/>
        <v>2.9</v>
      </c>
      <c r="H31" s="257">
        <f t="shared" si="3"/>
        <v>0.3</v>
      </c>
      <c r="I31" s="260">
        <f t="shared" si="3"/>
        <v>0.7</v>
      </c>
      <c r="J31" s="260">
        <f t="shared" si="3"/>
        <v>1.2</v>
      </c>
      <c r="K31" s="266">
        <f t="shared" si="3"/>
        <v>0.7</v>
      </c>
      <c r="L31" s="210">
        <f t="shared" si="3"/>
        <v>2.9</v>
      </c>
      <c r="M31" s="257">
        <f t="shared" si="3"/>
        <v>0.3</v>
      </c>
      <c r="N31" s="260">
        <f t="shared" si="3"/>
        <v>0.7</v>
      </c>
      <c r="O31" s="260">
        <f t="shared" si="3"/>
        <v>1.2</v>
      </c>
      <c r="P31" s="266">
        <f t="shared" si="3"/>
        <v>0.7</v>
      </c>
      <c r="Q31" s="210">
        <f t="shared" si="3"/>
        <v>2.9</v>
      </c>
    </row>
    <row r="32" spans="1:17" s="60" customFormat="1" outlineLevel="1" x14ac:dyDescent="0.25">
      <c r="A32" s="229" t="s">
        <v>48</v>
      </c>
      <c r="B32" s="150" t="s">
        <v>135</v>
      </c>
      <c r="C32" s="214">
        <f>ROUND('1. Статистика'!N31,3)</f>
        <v>0.3</v>
      </c>
      <c r="D32" s="215">
        <f>ROUND('1. Статистика'!O31,3)</f>
        <v>0.7</v>
      </c>
      <c r="E32" s="215">
        <f>ROUND('1. Статистика'!P31,3)</f>
        <v>0.5</v>
      </c>
      <c r="F32" s="216">
        <f>ROUND('1. Статистика'!Q31,3)</f>
        <v>0.7</v>
      </c>
      <c r="G32" s="220">
        <f>ROUND(SUM(C32:F32),3)</f>
        <v>2.2000000000000002</v>
      </c>
      <c r="H32" s="214">
        <f>ROUND(C31,3)</f>
        <v>0.3</v>
      </c>
      <c r="I32" s="215">
        <f>ROUND(D31,3)</f>
        <v>0.7</v>
      </c>
      <c r="J32" s="215">
        <f>ROUND(E31,3)</f>
        <v>1.2</v>
      </c>
      <c r="K32" s="216">
        <f>ROUND(F31,3)</f>
        <v>0.7</v>
      </c>
      <c r="L32" s="220">
        <f>ROUND(SUM(H32:K32),3)</f>
        <v>2.9</v>
      </c>
      <c r="M32" s="214">
        <f>ROUND(H31,3)</f>
        <v>0.3</v>
      </c>
      <c r="N32" s="215">
        <f>ROUND(I31,3)</f>
        <v>0.7</v>
      </c>
      <c r="O32" s="215">
        <f>ROUND(J31,3)</f>
        <v>1.2</v>
      </c>
      <c r="P32" s="216">
        <f>ROUND(K31,3)</f>
        <v>0.7</v>
      </c>
      <c r="Q32" s="220">
        <f>ROUND(SUM(M32:P32),3)</f>
        <v>2.9</v>
      </c>
    </row>
    <row r="33" spans="1:18" s="60" customFormat="1" outlineLevel="1" x14ac:dyDescent="0.25">
      <c r="A33" s="229" t="s">
        <v>49</v>
      </c>
      <c r="B33" s="150" t="s">
        <v>135</v>
      </c>
      <c r="C33" s="218"/>
      <c r="D33" s="222"/>
      <c r="E33" s="222">
        <v>0.7</v>
      </c>
      <c r="F33" s="223"/>
      <c r="G33" s="220">
        <f>ROUND(SUM(C33:F33),3)</f>
        <v>0.7</v>
      </c>
      <c r="H33" s="218"/>
      <c r="I33" s="222"/>
      <c r="J33" s="222"/>
      <c r="K33" s="223"/>
      <c r="L33" s="220">
        <f>ROUND(SUM(H33:K33),3)</f>
        <v>0</v>
      </c>
      <c r="M33" s="218"/>
      <c r="N33" s="222"/>
      <c r="O33" s="222"/>
      <c r="P33" s="223"/>
      <c r="Q33" s="220">
        <f>ROUND(SUM(M33:P33),3)</f>
        <v>0</v>
      </c>
    </row>
    <row r="34" spans="1:18" s="3" customFormat="1" ht="15" customHeight="1" collapsed="1" x14ac:dyDescent="0.25">
      <c r="A34" s="248" t="s">
        <v>43</v>
      </c>
      <c r="B34" s="262" t="s">
        <v>135</v>
      </c>
      <c r="C34" s="263">
        <f t="shared" ref="C34:Q34" si="4">ROUND(C21+C31+C26+C29,3)</f>
        <v>13.15</v>
      </c>
      <c r="D34" s="263">
        <f t="shared" si="4"/>
        <v>21.445</v>
      </c>
      <c r="E34" s="263">
        <f t="shared" si="4"/>
        <v>25.734999999999999</v>
      </c>
      <c r="F34" s="264">
        <f t="shared" si="4"/>
        <v>11.721</v>
      </c>
      <c r="G34" s="209">
        <f t="shared" si="4"/>
        <v>72.051000000000002</v>
      </c>
      <c r="H34" s="263">
        <f t="shared" si="4"/>
        <v>13.042999999999999</v>
      </c>
      <c r="I34" s="263">
        <f t="shared" si="4"/>
        <v>21.271999999999998</v>
      </c>
      <c r="J34" s="263">
        <f t="shared" si="4"/>
        <v>25.457000000000001</v>
      </c>
      <c r="K34" s="264">
        <f t="shared" si="4"/>
        <v>11.629</v>
      </c>
      <c r="L34" s="209">
        <f t="shared" si="4"/>
        <v>71.400999999999996</v>
      </c>
      <c r="M34" s="263">
        <f t="shared" si="4"/>
        <v>13.042999999999999</v>
      </c>
      <c r="N34" s="263">
        <f t="shared" si="4"/>
        <v>21.271999999999998</v>
      </c>
      <c r="O34" s="263">
        <f t="shared" si="4"/>
        <v>25.442</v>
      </c>
      <c r="P34" s="264">
        <f t="shared" si="4"/>
        <v>11.629</v>
      </c>
      <c r="Q34" s="209">
        <f t="shared" si="4"/>
        <v>71.385999999999996</v>
      </c>
    </row>
    <row r="35" spans="1:18" ht="15.75" thickBot="1" x14ac:dyDescent="0.3">
      <c r="A35" s="250" t="s">
        <v>50</v>
      </c>
      <c r="B35" s="270" t="s">
        <v>135</v>
      </c>
      <c r="C35" s="271">
        <f t="shared" ref="C35:Q35" si="5">ROUND(C20-C34,3)</f>
        <v>2.85</v>
      </c>
      <c r="D35" s="271">
        <f t="shared" si="5"/>
        <v>4.0720000000000001</v>
      </c>
      <c r="E35" s="271">
        <f t="shared" si="5"/>
        <v>2.6219999999999999</v>
      </c>
      <c r="F35" s="272">
        <f t="shared" si="5"/>
        <v>1.901</v>
      </c>
      <c r="G35" s="211">
        <f t="shared" si="5"/>
        <v>1.901</v>
      </c>
      <c r="H35" s="271">
        <f t="shared" si="5"/>
        <v>1.8580000000000001</v>
      </c>
      <c r="I35" s="271">
        <f t="shared" si="5"/>
        <v>3.4119999999999999</v>
      </c>
      <c r="J35" s="271">
        <f t="shared" si="5"/>
        <v>3.24</v>
      </c>
      <c r="K35" s="272">
        <f t="shared" si="5"/>
        <v>3.1110000000000002</v>
      </c>
      <c r="L35" s="211">
        <f t="shared" si="5"/>
        <v>3.1110000000000002</v>
      </c>
      <c r="M35" s="271">
        <f t="shared" si="5"/>
        <v>3.0680000000000001</v>
      </c>
      <c r="N35" s="271">
        <f t="shared" si="5"/>
        <v>4.6779999999999999</v>
      </c>
      <c r="O35" s="271">
        <f t="shared" si="5"/>
        <v>5.4720000000000004</v>
      </c>
      <c r="P35" s="272">
        <f t="shared" si="5"/>
        <v>5.343</v>
      </c>
      <c r="Q35" s="211">
        <f t="shared" si="5"/>
        <v>5.343</v>
      </c>
    </row>
    <row r="36" spans="1:18" collapsed="1" x14ac:dyDescent="0.25"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</row>
    <row r="37" spans="1:18" x14ac:dyDescent="0.25"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</row>
    <row r="38" spans="1:18" s="304" customFormat="1" ht="15" customHeight="1" x14ac:dyDescent="0.25">
      <c r="A38" s="302" t="s">
        <v>87</v>
      </c>
      <c r="B38" s="307"/>
      <c r="C38" s="308">
        <f t="shared" ref="C38:Q38" si="6">ROUND(C20-C34-C35,3)</f>
        <v>0</v>
      </c>
      <c r="D38" s="308">
        <f t="shared" si="6"/>
        <v>0</v>
      </c>
      <c r="E38" s="308">
        <f t="shared" si="6"/>
        <v>0</v>
      </c>
      <c r="F38" s="308">
        <f t="shared" si="6"/>
        <v>0</v>
      </c>
      <c r="G38" s="309">
        <f t="shared" si="6"/>
        <v>0</v>
      </c>
      <c r="H38" s="308">
        <f t="shared" si="6"/>
        <v>0</v>
      </c>
      <c r="I38" s="308">
        <f t="shared" si="6"/>
        <v>0</v>
      </c>
      <c r="J38" s="308">
        <f t="shared" si="6"/>
        <v>0</v>
      </c>
      <c r="K38" s="308">
        <f t="shared" si="6"/>
        <v>0</v>
      </c>
      <c r="L38" s="309">
        <f t="shared" si="6"/>
        <v>0</v>
      </c>
      <c r="M38" s="308">
        <f t="shared" si="6"/>
        <v>0</v>
      </c>
      <c r="N38" s="308">
        <f t="shared" si="6"/>
        <v>0</v>
      </c>
      <c r="O38" s="308">
        <f t="shared" si="6"/>
        <v>0</v>
      </c>
      <c r="P38" s="308">
        <f t="shared" si="6"/>
        <v>0</v>
      </c>
      <c r="Q38" s="309">
        <f t="shared" si="6"/>
        <v>0</v>
      </c>
      <c r="R38" s="310"/>
    </row>
    <row r="39" spans="1:18" s="304" customFormat="1" x14ac:dyDescent="0.25">
      <c r="A39" s="305"/>
      <c r="B39" s="307"/>
      <c r="C39" s="308"/>
      <c r="D39" s="308"/>
      <c r="E39" s="308"/>
      <c r="F39" s="308"/>
      <c r="G39" s="309"/>
      <c r="H39" s="308"/>
      <c r="I39" s="308"/>
      <c r="J39" s="308"/>
      <c r="K39" s="308"/>
      <c r="L39" s="309"/>
      <c r="M39" s="308"/>
      <c r="N39" s="308"/>
      <c r="O39" s="308"/>
      <c r="P39" s="308"/>
      <c r="Q39" s="309"/>
      <c r="R39" s="310"/>
    </row>
    <row r="40" spans="1:18" s="304" customFormat="1" x14ac:dyDescent="0.25">
      <c r="A40" s="306"/>
      <c r="B40" s="307"/>
      <c r="C40" s="308"/>
      <c r="D40" s="308"/>
      <c r="E40" s="308"/>
      <c r="F40" s="308"/>
      <c r="G40" s="309"/>
      <c r="H40" s="308"/>
      <c r="I40" s="308"/>
      <c r="J40" s="308"/>
      <c r="K40" s="308"/>
      <c r="L40" s="309"/>
      <c r="M40" s="308"/>
      <c r="N40" s="308"/>
      <c r="O40" s="308"/>
      <c r="P40" s="308"/>
      <c r="Q40" s="309"/>
      <c r="R40" s="310"/>
    </row>
    <row r="41" spans="1:18" s="304" customFormat="1" x14ac:dyDescent="0.25">
      <c r="A41" s="302" t="s">
        <v>51</v>
      </c>
      <c r="B41" s="307"/>
      <c r="C41" s="308">
        <f t="shared" ref="C41:Q41" si="7">ROUND(C9+C10+C17-C21-C29-C31-C26-C35,3)</f>
        <v>0</v>
      </c>
      <c r="D41" s="308">
        <f t="shared" si="7"/>
        <v>0</v>
      </c>
      <c r="E41" s="308">
        <f t="shared" si="7"/>
        <v>0</v>
      </c>
      <c r="F41" s="308">
        <f t="shared" si="7"/>
        <v>0</v>
      </c>
      <c r="G41" s="309">
        <f t="shared" si="7"/>
        <v>0</v>
      </c>
      <c r="H41" s="308">
        <f t="shared" si="7"/>
        <v>0</v>
      </c>
      <c r="I41" s="308">
        <f t="shared" si="7"/>
        <v>0</v>
      </c>
      <c r="J41" s="308">
        <f t="shared" si="7"/>
        <v>0</v>
      </c>
      <c r="K41" s="308">
        <f t="shared" si="7"/>
        <v>0</v>
      </c>
      <c r="L41" s="309">
        <f t="shared" si="7"/>
        <v>0</v>
      </c>
      <c r="M41" s="308">
        <f t="shared" si="7"/>
        <v>0</v>
      </c>
      <c r="N41" s="308">
        <f t="shared" si="7"/>
        <v>0</v>
      </c>
      <c r="O41" s="308">
        <f t="shared" si="7"/>
        <v>0</v>
      </c>
      <c r="P41" s="308">
        <f t="shared" si="7"/>
        <v>0</v>
      </c>
      <c r="Q41" s="309">
        <f t="shared" si="7"/>
        <v>0</v>
      </c>
      <c r="R41" s="310"/>
    </row>
    <row r="42" spans="1:18" s="304" customFormat="1" x14ac:dyDescent="0.25">
      <c r="A42" s="306"/>
      <c r="B42" s="307"/>
      <c r="C42" s="311"/>
      <c r="D42" s="311"/>
      <c r="E42" s="311"/>
      <c r="F42" s="311"/>
      <c r="G42" s="311"/>
      <c r="H42" s="311"/>
      <c r="I42" s="311"/>
      <c r="J42" s="311"/>
      <c r="K42" s="311"/>
      <c r="L42" s="312"/>
      <c r="M42" s="311"/>
      <c r="N42" s="311"/>
      <c r="O42" s="311"/>
      <c r="P42" s="311"/>
      <c r="Q42" s="312"/>
    </row>
    <row r="43" spans="1:18" s="304" customFormat="1" x14ac:dyDescent="0.25">
      <c r="A43" s="306"/>
      <c r="B43" s="307"/>
      <c r="C43" s="307"/>
      <c r="D43" s="307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</row>
    <row r="165" ht="15" customHeight="1" x14ac:dyDescent="0.25"/>
  </sheetData>
  <sheetProtection algorithmName="SHA-512" hashValue="xyrj2TaZ8aRh+vrk+BqcdOU4C7tUZVZsuBGMl/Zr7JMXrGRlPrGZTh2jXPBxn757voTm0hJlPxp3br6qzyNGQQ==" saltValue="102s1RmsCIAtGVWOg6VcuA==" spinCount="100000" sheet="1" objects="1" scenarios="1"/>
  <mergeCells count="8">
    <mergeCell ref="H7:K7"/>
    <mergeCell ref="Q7:Q8"/>
    <mergeCell ref="M7:P7"/>
    <mergeCell ref="A7:A8"/>
    <mergeCell ref="B7:B8"/>
    <mergeCell ref="G7:G8"/>
    <mergeCell ref="C7:F7"/>
    <mergeCell ref="L7:L8"/>
  </mergeCells>
  <phoneticPr fontId="19" type="noConversion"/>
  <dataValidations count="4">
    <dataValidation type="decimal" operator="greaterThan" allowBlank="1" showInputMessage="1" showErrorMessage="1" errorTitle="Недопустимое значение" error="Вы ввели недопустимое значение (текст). В ячейках допускает ввод только числовых значений." sqref="L18:L19 Q18:Q19 Q14:Q16 L14:L16 G14:G16 G18:G19">
      <formula1>-1000000000</formula1>
    </dataValidation>
    <dataValidation type="decimal" operator="greaterThan" allowBlank="1" showInputMessage="1" showErrorMessage="1" sqref="G21 L21 Q21 C19:F33 H19:K33 M19:P33">
      <formula1>-1000000000</formula1>
    </dataValidation>
    <dataValidation operator="greaterThan" allowBlank="1" showInputMessage="1" showErrorMessage="1" sqref="L20 Q20 G20"/>
    <dataValidation type="decimal" allowBlank="1" showInputMessage="1" showErrorMessage="1" sqref="G30 L30 Q30">
      <formula1>-1000000000</formula1>
      <formula2>1000000000000000</formula2>
    </dataValidation>
  </dataValidations>
  <pageMargins left="0.25" right="0.25" top="0.75" bottom="0.75" header="0.3" footer="0.3"/>
  <pageSetup paperSize="9" firstPageNumber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outlinePr summaryBelow="0"/>
    <pageSetUpPr fitToPage="1"/>
  </sheetPr>
  <dimension ref="A1:R42"/>
  <sheetViews>
    <sheetView showGridLines="0" zoomScale="50" zoomScaleNormal="5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Q9" sqref="Q9"/>
    </sheetView>
  </sheetViews>
  <sheetFormatPr defaultRowHeight="15" outlineLevelRow="2" x14ac:dyDescent="0.25"/>
  <cols>
    <col min="1" max="1" width="61.42578125" customWidth="1"/>
    <col min="2" max="2" width="10.5703125" style="159" customWidth="1"/>
    <col min="3" max="17" width="13.85546875" style="17" customWidth="1"/>
  </cols>
  <sheetData>
    <row r="1" spans="1:18" x14ac:dyDescent="0.25">
      <c r="A1" s="377"/>
      <c r="B1" s="378" t="s">
        <v>10</v>
      </c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80"/>
    </row>
    <row r="2" spans="1:18" x14ac:dyDescent="0.25">
      <c r="A2" s="381" t="s">
        <v>9</v>
      </c>
      <c r="B2" s="382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  <c r="O2" s="379"/>
      <c r="P2" s="379"/>
      <c r="Q2" s="379"/>
      <c r="R2" s="380"/>
    </row>
    <row r="3" spans="1:18" x14ac:dyDescent="0.25">
      <c r="A3" s="381" t="s">
        <v>54</v>
      </c>
      <c r="B3" s="383"/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80"/>
    </row>
    <row r="4" spans="1:18" x14ac:dyDescent="0.25">
      <c r="A4" s="384"/>
      <c r="B4" s="385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79"/>
      <c r="Q4" s="379"/>
      <c r="R4" s="380"/>
    </row>
    <row r="5" spans="1:18" x14ac:dyDescent="0.25">
      <c r="A5" s="384"/>
      <c r="B5" s="385"/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  <c r="O5" s="379"/>
      <c r="P5" s="379"/>
      <c r="Q5" s="379"/>
      <c r="R5" s="380"/>
    </row>
    <row r="6" spans="1:18" ht="15.75" thickBot="1" x14ac:dyDescent="0.3">
      <c r="A6" s="380"/>
      <c r="B6" s="386"/>
      <c r="C6" s="379"/>
      <c r="D6" s="379"/>
      <c r="E6" s="379"/>
      <c r="F6" s="379"/>
      <c r="G6" s="379"/>
      <c r="H6" s="379"/>
      <c r="I6" s="379"/>
      <c r="J6" s="379"/>
      <c r="K6" s="379"/>
      <c r="L6" s="379"/>
      <c r="M6" s="379"/>
      <c r="N6" s="379"/>
      <c r="O6" s="379"/>
      <c r="P6" s="379"/>
      <c r="Q6" s="379"/>
      <c r="R6" s="380"/>
    </row>
    <row r="7" spans="1:18" ht="18" customHeight="1" x14ac:dyDescent="0.25">
      <c r="A7" s="553" t="s">
        <v>16</v>
      </c>
      <c r="B7" s="555" t="s">
        <v>37</v>
      </c>
      <c r="C7" s="543" t="str">
        <f>YEAR(Date)&amp;" год"</f>
        <v>2021 год</v>
      </c>
      <c r="D7" s="526"/>
      <c r="E7" s="526"/>
      <c r="F7" s="527"/>
      <c r="G7" s="551" t="str">
        <f>C7</f>
        <v>2021 год</v>
      </c>
      <c r="H7" s="543" t="str">
        <f>(LEFT(C7,4)+1)&amp;" год"</f>
        <v>2022 год</v>
      </c>
      <c r="I7" s="526"/>
      <c r="J7" s="526"/>
      <c r="K7" s="527"/>
      <c r="L7" s="551" t="str">
        <f>H7</f>
        <v>2022 год</v>
      </c>
      <c r="M7" s="543" t="str">
        <f>(LEFT(H7,4)+1)&amp;" год"</f>
        <v>2023 год</v>
      </c>
      <c r="N7" s="526"/>
      <c r="O7" s="526"/>
      <c r="P7" s="527"/>
      <c r="Q7" s="551" t="str">
        <f>M7</f>
        <v>2023 год</v>
      </c>
      <c r="R7" s="380"/>
    </row>
    <row r="8" spans="1:18" ht="15.75" thickBot="1" x14ac:dyDescent="0.3">
      <c r="A8" s="554"/>
      <c r="B8" s="556"/>
      <c r="C8" s="475" t="s">
        <v>0</v>
      </c>
      <c r="D8" s="476" t="s">
        <v>1</v>
      </c>
      <c r="E8" s="476" t="s">
        <v>2</v>
      </c>
      <c r="F8" s="477" t="s">
        <v>3</v>
      </c>
      <c r="G8" s="552"/>
      <c r="H8" s="475" t="s">
        <v>0</v>
      </c>
      <c r="I8" s="476" t="s">
        <v>1</v>
      </c>
      <c r="J8" s="476" t="s">
        <v>2</v>
      </c>
      <c r="K8" s="477" t="s">
        <v>3</v>
      </c>
      <c r="L8" s="552"/>
      <c r="M8" s="475" t="s">
        <v>0</v>
      </c>
      <c r="N8" s="476" t="s">
        <v>1</v>
      </c>
      <c r="O8" s="476" t="s">
        <v>2</v>
      </c>
      <c r="P8" s="477" t="s">
        <v>3</v>
      </c>
      <c r="Q8" s="552"/>
      <c r="R8" s="380"/>
    </row>
    <row r="9" spans="1:18" x14ac:dyDescent="0.25">
      <c r="A9" s="387" t="s">
        <v>39</v>
      </c>
      <c r="B9" s="388" t="s">
        <v>135</v>
      </c>
      <c r="C9" s="389">
        <f>ROUND(G9,3)</f>
        <v>3</v>
      </c>
      <c r="D9" s="390">
        <f>ROUND(C35,3)</f>
        <v>2.944</v>
      </c>
      <c r="E9" s="390">
        <f>ROUND(D35,3)</f>
        <v>4.0730000000000004</v>
      </c>
      <c r="F9" s="391">
        <f>ROUND(E35,3)</f>
        <v>2.6230000000000002</v>
      </c>
      <c r="G9" s="392">
        <f>ROUND('1. Статистика'!AK45,3)</f>
        <v>3</v>
      </c>
      <c r="H9" s="389">
        <f>ROUND(L9,3)</f>
        <v>3.0019999999999998</v>
      </c>
      <c r="I9" s="390">
        <f>ROUND(H35,3)</f>
        <v>2.9590000000000001</v>
      </c>
      <c r="J9" s="390">
        <f>ROUND(I35,3)</f>
        <v>4.5129999999999999</v>
      </c>
      <c r="K9" s="391">
        <f>ROUND(J35,3)</f>
        <v>4.3410000000000002</v>
      </c>
      <c r="L9" s="392">
        <f>ROUND(F35,3)</f>
        <v>3.0019999999999998</v>
      </c>
      <c r="M9" s="389">
        <f>ROUND(Q9,3)</f>
        <v>4.2119999999999997</v>
      </c>
      <c r="N9" s="390">
        <f>ROUND(M35,3)</f>
        <v>4.1689999999999996</v>
      </c>
      <c r="O9" s="390">
        <f>ROUND(N35,3)</f>
        <v>5.7789999999999999</v>
      </c>
      <c r="P9" s="391">
        <f>ROUND(O35,3)</f>
        <v>6.5730000000000004</v>
      </c>
      <c r="Q9" s="392">
        <f>ROUND(K35,3)</f>
        <v>4.2119999999999997</v>
      </c>
      <c r="R9" s="380"/>
    </row>
    <row r="10" spans="1:18" s="11" customFormat="1" ht="15" customHeight="1" x14ac:dyDescent="0.25">
      <c r="A10" s="393" t="s">
        <v>138</v>
      </c>
      <c r="B10" s="394" t="s">
        <v>135</v>
      </c>
      <c r="C10" s="395">
        <f>ROUND('2. Прогноз. Без корректировки'!C10,3)</f>
        <v>0</v>
      </c>
      <c r="D10" s="395">
        <f>ROUND('2. Прогноз. Без корректировки'!D10,3)</f>
        <v>2.367</v>
      </c>
      <c r="E10" s="395">
        <f>ROUND('2. Прогноз. Без корректировки'!E10,3)</f>
        <v>14.885</v>
      </c>
      <c r="F10" s="396">
        <f>ROUND('2. Прогноз. Без корректировки'!F10,3)</f>
        <v>0</v>
      </c>
      <c r="G10" s="392">
        <f>ROUND('2. Прогноз. Без корректировки'!G10,3)</f>
        <v>17.251999999999999</v>
      </c>
      <c r="H10" s="395">
        <f>ROUND('2. Прогноз. Без корректировки'!H10,3)</f>
        <v>0</v>
      </c>
      <c r="I10" s="395">
        <f>ROUND('2. Прогноз. Без корректировки'!I10,3)</f>
        <v>2.5259999999999998</v>
      </c>
      <c r="J10" s="395">
        <f>ROUND('2. Прогноз. Без корректировки'!J10,3)</f>
        <v>15.885</v>
      </c>
      <c r="K10" s="395">
        <f>ROUND('2. Прогноз. Без корректировки'!K10,3)</f>
        <v>0</v>
      </c>
      <c r="L10" s="392">
        <f>ROUND('2. Прогноз. Без корректировки'!L10,3)</f>
        <v>18.411000000000001</v>
      </c>
      <c r="M10" s="395">
        <f>ROUND('2. Прогноз. Без корректировки'!M10,3)</f>
        <v>0</v>
      </c>
      <c r="N10" s="395">
        <f>ROUND('2. Прогноз. Без корректировки'!N10,3)</f>
        <v>2.5819999999999999</v>
      </c>
      <c r="O10" s="395">
        <f>ROUND('2. Прогноз. Без корректировки'!O10,3)</f>
        <v>16.236000000000001</v>
      </c>
      <c r="P10" s="395">
        <f>ROUND('2. Прогноз. Без корректировки'!P10,3)</f>
        <v>0</v>
      </c>
      <c r="Q10" s="392">
        <f>ROUND('2. Прогноз. Без корректировки'!Q10,3)</f>
        <v>18.818000000000001</v>
      </c>
      <c r="R10" s="397"/>
    </row>
    <row r="11" spans="1:18" s="89" customFormat="1" ht="15" customHeight="1" outlineLevel="2" x14ac:dyDescent="0.25">
      <c r="A11" s="398" t="s">
        <v>98</v>
      </c>
      <c r="B11" s="399" t="s">
        <v>99</v>
      </c>
      <c r="C11" s="383"/>
      <c r="D11" s="400"/>
      <c r="E11" s="400"/>
      <c r="F11" s="401"/>
      <c r="G11" s="402">
        <f>ROUND('2. Прогноз. Без корректировки'!G11,3)</f>
        <v>0.01</v>
      </c>
      <c r="H11" s="383"/>
      <c r="I11" s="400"/>
      <c r="J11" s="400"/>
      <c r="K11" s="401"/>
      <c r="L11" s="402">
        <f>ROUND('2. Прогноз. Без корректировки'!L11,3)</f>
        <v>0.01</v>
      </c>
      <c r="M11" s="383"/>
      <c r="N11" s="400"/>
      <c r="O11" s="400"/>
      <c r="P11" s="403"/>
      <c r="Q11" s="402">
        <f>ROUND('2. Прогноз. Без корректировки'!Q11,3)</f>
        <v>0.01</v>
      </c>
      <c r="R11" s="404"/>
    </row>
    <row r="12" spans="1:18" s="89" customFormat="1" ht="15" customHeight="1" outlineLevel="2" x14ac:dyDescent="0.25">
      <c r="A12" s="398" t="s">
        <v>100</v>
      </c>
      <c r="B12" s="399" t="s">
        <v>99</v>
      </c>
      <c r="C12" s="383"/>
      <c r="D12" s="400"/>
      <c r="E12" s="400"/>
      <c r="F12" s="401"/>
      <c r="G12" s="402">
        <f>ROUND('2. Прогноз. Без корректировки'!G12,3)</f>
        <v>0.20200000000000001</v>
      </c>
      <c r="H12" s="383"/>
      <c r="I12" s="400"/>
      <c r="J12" s="400"/>
      <c r="K12" s="401"/>
      <c r="L12" s="402">
        <f>ROUND('2. Прогноз. Без корректировки'!L12,3)</f>
        <v>0.20200000000000001</v>
      </c>
      <c r="M12" s="383"/>
      <c r="N12" s="400"/>
      <c r="O12" s="400"/>
      <c r="P12" s="403"/>
      <c r="Q12" s="402">
        <f>ROUND('2. Прогноз. Без корректировки'!Q12,3)</f>
        <v>0.20200000000000001</v>
      </c>
      <c r="R12" s="404"/>
    </row>
    <row r="13" spans="1:18" s="89" customFormat="1" ht="15" customHeight="1" outlineLevel="2" x14ac:dyDescent="0.25">
      <c r="A13" s="398" t="s">
        <v>101</v>
      </c>
      <c r="B13" s="399" t="s">
        <v>99</v>
      </c>
      <c r="C13" s="383"/>
      <c r="D13" s="400"/>
      <c r="E13" s="400"/>
      <c r="F13" s="401"/>
      <c r="G13" s="402">
        <f>ROUND('2. Прогноз. Без корректировки'!G13,3)</f>
        <v>1.931</v>
      </c>
      <c r="H13" s="383"/>
      <c r="I13" s="400"/>
      <c r="J13" s="400"/>
      <c r="K13" s="401"/>
      <c r="L13" s="402">
        <f>ROUND('2. Прогноз. Без корректировки'!L13,3)</f>
        <v>1.931</v>
      </c>
      <c r="M13" s="383"/>
      <c r="N13" s="400"/>
      <c r="O13" s="400"/>
      <c r="P13" s="403"/>
      <c r="Q13" s="402">
        <f>ROUND('2. Прогноз. Без корректировки'!Q13,3)</f>
        <v>1.931</v>
      </c>
      <c r="R13" s="404"/>
    </row>
    <row r="14" spans="1:18" s="89" customFormat="1" ht="15" customHeight="1" outlineLevel="2" x14ac:dyDescent="0.25">
      <c r="A14" s="398" t="s">
        <v>102</v>
      </c>
      <c r="B14" s="399" t="s">
        <v>103</v>
      </c>
      <c r="C14" s="383"/>
      <c r="D14" s="400"/>
      <c r="E14" s="400"/>
      <c r="F14" s="401"/>
      <c r="G14" s="405">
        <f>ROUND('2. Прогноз. Без корректировки'!G14,3)</f>
        <v>26.4</v>
      </c>
      <c r="H14" s="383"/>
      <c r="I14" s="400"/>
      <c r="J14" s="400"/>
      <c r="K14" s="401"/>
      <c r="L14" s="405">
        <f>ROUND('2. Прогноз. Без корректировки'!L14,3)</f>
        <v>27</v>
      </c>
      <c r="M14" s="383"/>
      <c r="N14" s="400"/>
      <c r="O14" s="400"/>
      <c r="P14" s="403"/>
      <c r="Q14" s="405">
        <f>ROUND('2. Прогноз. Без корректировки'!Q14,3)</f>
        <v>27.5</v>
      </c>
      <c r="R14" s="404"/>
    </row>
    <row r="15" spans="1:18" s="89" customFormat="1" ht="15" customHeight="1" outlineLevel="2" x14ac:dyDescent="0.25">
      <c r="A15" s="398" t="s">
        <v>104</v>
      </c>
      <c r="B15" s="399" t="s">
        <v>103</v>
      </c>
      <c r="C15" s="383"/>
      <c r="D15" s="400"/>
      <c r="E15" s="400"/>
      <c r="F15" s="401"/>
      <c r="G15" s="405">
        <f>ROUND('2. Прогноз. Без корректировки'!G15,3)</f>
        <v>88</v>
      </c>
      <c r="H15" s="383"/>
      <c r="I15" s="400"/>
      <c r="J15" s="400"/>
      <c r="K15" s="401"/>
      <c r="L15" s="405">
        <f>ROUND('2. Прогноз. Без корректировки'!L15,3)</f>
        <v>88</v>
      </c>
      <c r="M15" s="383"/>
      <c r="N15" s="400"/>
      <c r="O15" s="400"/>
      <c r="P15" s="403"/>
      <c r="Q15" s="405">
        <f>ROUND('2. Прогноз. Без корректировки'!Q15,3)</f>
        <v>89</v>
      </c>
      <c r="R15" s="404"/>
    </row>
    <row r="16" spans="1:18" s="89" customFormat="1" ht="15" customHeight="1" outlineLevel="2" x14ac:dyDescent="0.25">
      <c r="A16" s="398" t="s">
        <v>105</v>
      </c>
      <c r="B16" s="399" t="s">
        <v>103</v>
      </c>
      <c r="C16" s="383"/>
      <c r="D16" s="400"/>
      <c r="E16" s="400"/>
      <c r="F16" s="401"/>
      <c r="G16" s="405">
        <f>ROUND('2. Прогноз. Без корректировки'!G16,3)</f>
        <v>80</v>
      </c>
      <c r="H16" s="383"/>
      <c r="I16" s="400"/>
      <c r="J16" s="400"/>
      <c r="K16" s="401"/>
      <c r="L16" s="405">
        <f>ROUND('2. Прогноз. Без корректировки'!L16,3)</f>
        <v>86</v>
      </c>
      <c r="M16" s="383"/>
      <c r="N16" s="400"/>
      <c r="O16" s="400"/>
      <c r="P16" s="403"/>
      <c r="Q16" s="405">
        <f>ROUND('2. Прогноз. Без корректировки'!Q16,3)</f>
        <v>88</v>
      </c>
      <c r="R16" s="406"/>
    </row>
    <row r="17" spans="1:18" x14ac:dyDescent="0.25">
      <c r="A17" s="393" t="s">
        <v>40</v>
      </c>
      <c r="B17" s="394" t="s">
        <v>135</v>
      </c>
      <c r="C17" s="407">
        <f>ROUND(C18+C19,3)</f>
        <v>13.047000000000001</v>
      </c>
      <c r="D17" s="408">
        <f>ROUND(D18+D19,3)</f>
        <v>20.254000000000001</v>
      </c>
      <c r="E17" s="408">
        <f>ROUND(E18+E19,3)</f>
        <v>9.4</v>
      </c>
      <c r="F17" s="409">
        <f>ROUND(F18+F19,3)</f>
        <v>11.55</v>
      </c>
      <c r="G17" s="392">
        <f>ROUND(SUM(C17:F17),3)</f>
        <v>54.250999999999998</v>
      </c>
      <c r="H17" s="407">
        <f>ROUND(H18+H19,3)</f>
        <v>13</v>
      </c>
      <c r="I17" s="408">
        <f>ROUND(I18+I19,3)</f>
        <v>20.3</v>
      </c>
      <c r="J17" s="408">
        <f>ROUND(J18+J19,3)</f>
        <v>9.4</v>
      </c>
      <c r="K17" s="409">
        <f>ROUND(K18+K19,3)</f>
        <v>11.5</v>
      </c>
      <c r="L17" s="392">
        <f>ROUND(SUM(H17:K17),3)</f>
        <v>54.2</v>
      </c>
      <c r="M17" s="407">
        <f>ROUND(M18+M19,3)</f>
        <v>13</v>
      </c>
      <c r="N17" s="408">
        <f>ROUND(N18+N19,3)</f>
        <v>20.3</v>
      </c>
      <c r="O17" s="408">
        <f>ROUND(O18+O19,3)</f>
        <v>10</v>
      </c>
      <c r="P17" s="409">
        <f>ROUND(P18+P19,3)</f>
        <v>11.5</v>
      </c>
      <c r="Q17" s="392">
        <f>ROUND(SUM(M17:P17),3)</f>
        <v>54.8</v>
      </c>
      <c r="R17" s="380"/>
    </row>
    <row r="18" spans="1:18" s="3" customFormat="1" outlineLevel="1" x14ac:dyDescent="0.25">
      <c r="A18" s="410" t="s">
        <v>41</v>
      </c>
      <c r="B18" s="411" t="s">
        <v>135</v>
      </c>
      <c r="C18" s="412">
        <f>ROUND('1. Статистика'!N27,3)</f>
        <v>13</v>
      </c>
      <c r="D18" s="413">
        <f>ROUND('1. Статистика'!O27,3)</f>
        <v>20.3</v>
      </c>
      <c r="E18" s="413">
        <f>ROUND('1. Статистика'!P27,3)</f>
        <v>9.4</v>
      </c>
      <c r="F18" s="414">
        <f>ROUND('1. Статистика'!Q27,3)</f>
        <v>11</v>
      </c>
      <c r="G18" s="415">
        <f>ROUND(SUM(C18:F18),3)</f>
        <v>53.7</v>
      </c>
      <c r="H18" s="412">
        <f>ROUND(C17,3)</f>
        <v>13.047000000000001</v>
      </c>
      <c r="I18" s="413">
        <f>ROUND(D17,3)</f>
        <v>20.254000000000001</v>
      </c>
      <c r="J18" s="413">
        <f>ROUND(E17,3)</f>
        <v>9.4</v>
      </c>
      <c r="K18" s="414">
        <f>ROUND(F17,3)</f>
        <v>11.55</v>
      </c>
      <c r="L18" s="415">
        <f>ROUND(SUM(H18:K18),3)</f>
        <v>54.250999999999998</v>
      </c>
      <c r="M18" s="412">
        <f>ROUND(H17,3)</f>
        <v>13</v>
      </c>
      <c r="N18" s="413">
        <f>ROUND(I17,3)</f>
        <v>20.3</v>
      </c>
      <c r="O18" s="413">
        <f>ROUND(J17,3)</f>
        <v>9.4</v>
      </c>
      <c r="P18" s="414">
        <f>ROUND(K17,3)</f>
        <v>11.5</v>
      </c>
      <c r="Q18" s="415">
        <f>ROUND(SUM(M18:P18),3)</f>
        <v>54.2</v>
      </c>
      <c r="R18" s="416"/>
    </row>
    <row r="19" spans="1:18" s="3" customFormat="1" outlineLevel="1" x14ac:dyDescent="0.25">
      <c r="A19" s="410" t="s">
        <v>42</v>
      </c>
      <c r="B19" s="411" t="s">
        <v>135</v>
      </c>
      <c r="C19" s="412">
        <f>ROUND('1. Статистика'!C97-C18,3)</f>
        <v>4.7E-2</v>
      </c>
      <c r="D19" s="412">
        <f>ROUND('1. Статистика'!D97-D18,3)</f>
        <v>-4.5999999999999999E-2</v>
      </c>
      <c r="E19" s="412">
        <f>ROUND('1. Статистика'!E97-E18,3)</f>
        <v>0</v>
      </c>
      <c r="F19" s="417">
        <f>ROUND('1. Статистика'!F97-F18,3)</f>
        <v>0.55000000000000004</v>
      </c>
      <c r="G19" s="415">
        <f>ROUND(SUM(C19:F19),3)</f>
        <v>0.55100000000000005</v>
      </c>
      <c r="H19" s="412">
        <f>ROUND('1. Статистика'!G97-H18,3)</f>
        <v>-4.7E-2</v>
      </c>
      <c r="I19" s="412">
        <f>ROUND('1. Статистика'!H97-I18,3)</f>
        <v>4.5999999999999999E-2</v>
      </c>
      <c r="J19" s="412">
        <f>ROUND('1. Статистика'!I97-J18,3)</f>
        <v>0</v>
      </c>
      <c r="K19" s="412">
        <f>ROUND('1. Статистика'!J97-K18,3)</f>
        <v>-0.05</v>
      </c>
      <c r="L19" s="415">
        <f>ROUND(SUM(H19:K19),3)</f>
        <v>-5.0999999999999997E-2</v>
      </c>
      <c r="M19" s="412">
        <f>ROUND('1. Статистика'!K97-M18,3)</f>
        <v>0</v>
      </c>
      <c r="N19" s="413">
        <f>ROUND('1. Статистика'!L97-N18,3)</f>
        <v>0</v>
      </c>
      <c r="O19" s="413">
        <f>ROUND('1. Статистика'!M97-O18,3)</f>
        <v>0.6</v>
      </c>
      <c r="P19" s="414">
        <f>ROUND('1. Статистика'!N97-P18,3)</f>
        <v>0</v>
      </c>
      <c r="Q19" s="415">
        <f>ROUND(SUM(M19:P19),3)</f>
        <v>0.6</v>
      </c>
      <c r="R19" s="416"/>
    </row>
    <row r="20" spans="1:18" x14ac:dyDescent="0.25">
      <c r="A20" s="418" t="s">
        <v>38</v>
      </c>
      <c r="B20" s="419" t="s">
        <v>135</v>
      </c>
      <c r="C20" s="420">
        <f t="shared" ref="C20:Q20" si="0">ROUND(C9+C10+C17,3)</f>
        <v>16.047000000000001</v>
      </c>
      <c r="D20" s="420">
        <f t="shared" si="0"/>
        <v>25.565000000000001</v>
      </c>
      <c r="E20" s="420">
        <f t="shared" si="0"/>
        <v>28.358000000000001</v>
      </c>
      <c r="F20" s="421">
        <f t="shared" si="0"/>
        <v>14.173</v>
      </c>
      <c r="G20" s="422">
        <f t="shared" si="0"/>
        <v>74.503</v>
      </c>
      <c r="H20" s="420">
        <f t="shared" si="0"/>
        <v>16.001999999999999</v>
      </c>
      <c r="I20" s="420">
        <f t="shared" si="0"/>
        <v>25.785</v>
      </c>
      <c r="J20" s="420">
        <f t="shared" si="0"/>
        <v>29.797999999999998</v>
      </c>
      <c r="K20" s="421">
        <f t="shared" si="0"/>
        <v>15.840999999999999</v>
      </c>
      <c r="L20" s="422">
        <f t="shared" si="0"/>
        <v>75.613</v>
      </c>
      <c r="M20" s="420">
        <f t="shared" si="0"/>
        <v>17.212</v>
      </c>
      <c r="N20" s="420">
        <f t="shared" si="0"/>
        <v>27.050999999999998</v>
      </c>
      <c r="O20" s="420">
        <f t="shared" si="0"/>
        <v>32.015000000000001</v>
      </c>
      <c r="P20" s="421">
        <f t="shared" si="0"/>
        <v>18.073</v>
      </c>
      <c r="Q20" s="422">
        <f t="shared" si="0"/>
        <v>77.83</v>
      </c>
      <c r="R20" s="380"/>
    </row>
    <row r="21" spans="1:18" x14ac:dyDescent="0.25">
      <c r="A21" s="423" t="s">
        <v>106</v>
      </c>
      <c r="B21" s="424" t="s">
        <v>135</v>
      </c>
      <c r="C21" s="425">
        <f t="shared" ref="C21:Q21" si="1">ROUND(C22+C23-C24+C25,3)</f>
        <v>0</v>
      </c>
      <c r="D21" s="426">
        <f t="shared" si="1"/>
        <v>0.23</v>
      </c>
      <c r="E21" s="426">
        <f t="shared" si="1"/>
        <v>7.0000000000000007E-2</v>
      </c>
      <c r="F21" s="427">
        <f t="shared" si="1"/>
        <v>0</v>
      </c>
      <c r="G21" s="392">
        <f t="shared" si="1"/>
        <v>0.3</v>
      </c>
      <c r="H21" s="425">
        <f t="shared" si="1"/>
        <v>0</v>
      </c>
      <c r="I21" s="426">
        <f t="shared" si="1"/>
        <v>0.23</v>
      </c>
      <c r="J21" s="426">
        <f t="shared" si="1"/>
        <v>7.0000000000000007E-2</v>
      </c>
      <c r="K21" s="427">
        <f t="shared" si="1"/>
        <v>0</v>
      </c>
      <c r="L21" s="392">
        <f t="shared" si="1"/>
        <v>0.3</v>
      </c>
      <c r="M21" s="425">
        <f t="shared" si="1"/>
        <v>0</v>
      </c>
      <c r="N21" s="426">
        <f t="shared" si="1"/>
        <v>0.23</v>
      </c>
      <c r="O21" s="426">
        <f t="shared" si="1"/>
        <v>7.0000000000000007E-2</v>
      </c>
      <c r="P21" s="427">
        <f t="shared" si="1"/>
        <v>0</v>
      </c>
      <c r="Q21" s="392">
        <f t="shared" si="1"/>
        <v>0.3</v>
      </c>
      <c r="R21" s="380"/>
    </row>
    <row r="22" spans="1:18" s="3" customFormat="1" outlineLevel="1" x14ac:dyDescent="0.25">
      <c r="A22" s="428" t="s">
        <v>94</v>
      </c>
      <c r="B22" s="411" t="s">
        <v>135</v>
      </c>
      <c r="C22" s="412">
        <f>ROUND('1. Статистика'!N29,3)</f>
        <v>0</v>
      </c>
      <c r="D22" s="413">
        <f>ROUND('1. Статистика'!O29,3)</f>
        <v>0.23</v>
      </c>
      <c r="E22" s="413">
        <f>ROUND('1. Статистика'!P29,3)</f>
        <v>7.0000000000000007E-2</v>
      </c>
      <c r="F22" s="414">
        <f>ROUND('1. Статистика'!Q29,3)</f>
        <v>0</v>
      </c>
      <c r="G22" s="415">
        <f>ROUND(SUM(C22:F22),3)</f>
        <v>0.3</v>
      </c>
      <c r="H22" s="412">
        <f>ROUND(C21,3)</f>
        <v>0</v>
      </c>
      <c r="I22" s="413">
        <f>ROUND(D21,3)</f>
        <v>0.23</v>
      </c>
      <c r="J22" s="413">
        <f>ROUND(E21,3)</f>
        <v>7.0000000000000007E-2</v>
      </c>
      <c r="K22" s="414">
        <f>ROUND(F21,3)</f>
        <v>0</v>
      </c>
      <c r="L22" s="415">
        <f>ROUND(SUM(H22:K22),3)</f>
        <v>0.3</v>
      </c>
      <c r="M22" s="412">
        <f>ROUND(H21,3)</f>
        <v>0</v>
      </c>
      <c r="N22" s="413">
        <f>ROUND(I21,3)</f>
        <v>0.23</v>
      </c>
      <c r="O22" s="413">
        <f>ROUND(J21,3)</f>
        <v>7.0000000000000007E-2</v>
      </c>
      <c r="P22" s="414">
        <f>ROUND(K21,3)</f>
        <v>0</v>
      </c>
      <c r="Q22" s="415">
        <f>ROUND(SUM(M22:P22),3)</f>
        <v>0.3</v>
      </c>
      <c r="R22" s="416"/>
    </row>
    <row r="23" spans="1:18" s="3" customFormat="1" ht="30" outlineLevel="1" x14ac:dyDescent="0.25">
      <c r="A23" s="428" t="s">
        <v>44</v>
      </c>
      <c r="B23" s="411" t="s">
        <v>135</v>
      </c>
      <c r="C23" s="412">
        <f>ROUND('1. Статистика'!D19,3)</f>
        <v>0</v>
      </c>
      <c r="D23" s="412">
        <f>ROUND('1. Статистика'!E19,3)</f>
        <v>0</v>
      </c>
      <c r="E23" s="412">
        <f>ROUND('1. Статистика'!F19,3)</f>
        <v>0</v>
      </c>
      <c r="F23" s="417">
        <f>ROUND('1. Статистика'!G19,3)</f>
        <v>0</v>
      </c>
      <c r="G23" s="415">
        <f>ROUND(SUM(C23:F23),3)</f>
        <v>0</v>
      </c>
      <c r="H23" s="412">
        <f>ROUND('1. Статистика'!I19,3)</f>
        <v>0</v>
      </c>
      <c r="I23" s="412">
        <f>ROUND('1. Статистика'!J19,3)</f>
        <v>0</v>
      </c>
      <c r="J23" s="412">
        <f>ROUND('1. Статистика'!K19,3)</f>
        <v>0</v>
      </c>
      <c r="K23" s="417">
        <f>ROUND('1. Статистика'!L19,3)</f>
        <v>0</v>
      </c>
      <c r="L23" s="415">
        <f>ROUND(SUM(H23:K23),3)</f>
        <v>0</v>
      </c>
      <c r="M23" s="412">
        <f>ROUND('1. Статистика'!N19,3)</f>
        <v>0</v>
      </c>
      <c r="N23" s="412">
        <f>ROUND('1. Статистика'!O19,3)</f>
        <v>0</v>
      </c>
      <c r="O23" s="412">
        <f>ROUND('1. Статистика'!P19,3)</f>
        <v>0</v>
      </c>
      <c r="P23" s="417">
        <f>ROUND('1. Статистика'!Q19,3)</f>
        <v>0</v>
      </c>
      <c r="Q23" s="415">
        <f>ROUND(SUM(M23:P23),3)</f>
        <v>0</v>
      </c>
      <c r="R23" s="416"/>
    </row>
    <row r="24" spans="1:18" s="3" customFormat="1" ht="30" outlineLevel="1" x14ac:dyDescent="0.25">
      <c r="A24" s="428" t="s">
        <v>45</v>
      </c>
      <c r="B24" s="411" t="s">
        <v>135</v>
      </c>
      <c r="C24" s="412">
        <f>ROUND('2. Прогноз. Без корректировки'!C24,3)</f>
        <v>0</v>
      </c>
      <c r="D24" s="413">
        <f>ROUND('2. Прогноз. Без корректировки'!D24,3)</f>
        <v>0</v>
      </c>
      <c r="E24" s="413">
        <f>ROUND('2. Прогноз. Без корректировки'!E24,3)</f>
        <v>0</v>
      </c>
      <c r="F24" s="414">
        <f>ROUND('2. Прогноз. Без корректировки'!F24,3)</f>
        <v>0</v>
      </c>
      <c r="G24" s="415">
        <f>ROUND(SUM(C24:F24),3)</f>
        <v>0</v>
      </c>
      <c r="H24" s="412">
        <f>ROUND('2. Прогноз. Без корректировки'!H24,3)</f>
        <v>0</v>
      </c>
      <c r="I24" s="413">
        <f>ROUND('2. Прогноз. Без корректировки'!I24,3)</f>
        <v>0</v>
      </c>
      <c r="J24" s="413">
        <f>ROUND('2. Прогноз. Без корректировки'!J24,3)</f>
        <v>0</v>
      </c>
      <c r="K24" s="414">
        <f>ROUND('2. Прогноз. Без корректировки'!K24,3)</f>
        <v>0</v>
      </c>
      <c r="L24" s="415">
        <f>ROUND(SUM(H24:K24),3)</f>
        <v>0</v>
      </c>
      <c r="M24" s="412">
        <f>ROUND('2. Прогноз. Без корректировки'!M24,3)</f>
        <v>0</v>
      </c>
      <c r="N24" s="413">
        <f>ROUND('2. Прогноз. Без корректировки'!N24,3)</f>
        <v>0</v>
      </c>
      <c r="O24" s="413">
        <f>ROUND('2. Прогноз. Без корректировки'!O24,3)</f>
        <v>0</v>
      </c>
      <c r="P24" s="414">
        <f>ROUND('2. Прогноз. Без корректировки'!P24,3)</f>
        <v>0</v>
      </c>
      <c r="Q24" s="415">
        <f>ROUND(SUM(M24:P24),3)</f>
        <v>0</v>
      </c>
      <c r="R24" s="416"/>
    </row>
    <row r="25" spans="1:18" s="3" customFormat="1" ht="30" outlineLevel="1" x14ac:dyDescent="0.25">
      <c r="A25" s="428" t="s">
        <v>46</v>
      </c>
      <c r="B25" s="411" t="s">
        <v>135</v>
      </c>
      <c r="C25" s="412">
        <f>ROUND('2. Прогноз. Без корректировки'!C25,3)</f>
        <v>0</v>
      </c>
      <c r="D25" s="413">
        <f>ROUND('2. Прогноз. Без корректировки'!D25,3)</f>
        <v>0</v>
      </c>
      <c r="E25" s="413">
        <f>ROUND('2. Прогноз. Без корректировки'!E25,3)</f>
        <v>0</v>
      </c>
      <c r="F25" s="414">
        <f>ROUND('2. Прогноз. Без корректировки'!F25,3)</f>
        <v>0</v>
      </c>
      <c r="G25" s="415">
        <f>ROUND(SUM(C25:F25),3)</f>
        <v>0</v>
      </c>
      <c r="H25" s="412">
        <f>ROUND('2. Прогноз. Без корректировки'!H25,3)</f>
        <v>0</v>
      </c>
      <c r="I25" s="413">
        <f>ROUND('2. Прогноз. Без корректировки'!I25,3)</f>
        <v>0</v>
      </c>
      <c r="J25" s="413">
        <f>ROUND('2. Прогноз. Без корректировки'!J25,3)</f>
        <v>0</v>
      </c>
      <c r="K25" s="414">
        <f>ROUND('2. Прогноз. Без корректировки'!K25,3)</f>
        <v>0</v>
      </c>
      <c r="L25" s="415">
        <f>ROUND(SUM(H25:K25),3)</f>
        <v>0</v>
      </c>
      <c r="M25" s="412">
        <f>ROUND('2. Прогноз. Без корректировки'!M25,3)</f>
        <v>0</v>
      </c>
      <c r="N25" s="413">
        <f>ROUND('2. Прогноз. Без корректировки'!N25,3)</f>
        <v>0</v>
      </c>
      <c r="O25" s="413">
        <f>ROUND('2. Прогноз. Без корректировки'!O25,3)</f>
        <v>0</v>
      </c>
      <c r="P25" s="414">
        <f>ROUND('2. Прогноз. Без корректировки'!P25,3)</f>
        <v>0</v>
      </c>
      <c r="Q25" s="415">
        <f>ROUND(SUM(M25:P25),3)</f>
        <v>0</v>
      </c>
      <c r="R25" s="416"/>
    </row>
    <row r="26" spans="1:18" x14ac:dyDescent="0.25">
      <c r="A26" s="393" t="s">
        <v>107</v>
      </c>
      <c r="B26" s="429" t="s">
        <v>135</v>
      </c>
      <c r="C26" s="395">
        <f>ROUND('2. Прогноз. Без корректировки'!C26,3)</f>
        <v>12.85</v>
      </c>
      <c r="D26" s="395">
        <f>ROUND('2. Прогноз. Без корректировки'!D26,3)</f>
        <v>20.515000000000001</v>
      </c>
      <c r="E26" s="395">
        <f>ROUND('2. Прогноз. Без корректировки'!E26,3)</f>
        <v>24.236000000000001</v>
      </c>
      <c r="F26" s="430">
        <f>ROUND('2. Прогноз. Без корректировки'!F26,3)</f>
        <v>11.021000000000001</v>
      </c>
      <c r="G26" s="392">
        <f>ROUND('2. Прогноз. Без корректировки'!G26,3)</f>
        <v>68.622</v>
      </c>
      <c r="H26" s="395">
        <f>ROUND('2. Прогноз. Без корректировки'!H26,3)</f>
        <v>12.743</v>
      </c>
      <c r="I26" s="395">
        <f>ROUND('2. Прогноз. Без корректировки'!I26,3)</f>
        <v>20.341999999999999</v>
      </c>
      <c r="J26" s="395">
        <f>ROUND('2. Прогноз. Без корректировки'!J26,3)</f>
        <v>24.033999999999999</v>
      </c>
      <c r="K26" s="430">
        <f>ROUND('2. Прогноз. Без корректировки'!K26,3)</f>
        <v>10.929</v>
      </c>
      <c r="L26" s="392">
        <f>ROUND('2. Прогноз. Без корректировки'!L26,3)</f>
        <v>68.048000000000002</v>
      </c>
      <c r="M26" s="395">
        <f>ROUND('2. Прогноз. Без корректировки'!M26,3)</f>
        <v>12.743</v>
      </c>
      <c r="N26" s="395">
        <f>ROUND('2. Прогноз. Без корректировки'!N26,3)</f>
        <v>20.341999999999999</v>
      </c>
      <c r="O26" s="395">
        <f>ROUND('2. Прогноз. Без корректировки'!O26,3)</f>
        <v>24.033999999999999</v>
      </c>
      <c r="P26" s="430">
        <f>ROUND('2. Прогноз. Без корректировки'!P26,3)</f>
        <v>10.929</v>
      </c>
      <c r="Q26" s="392">
        <f>ROUND('2. Прогноз. Без корректировки'!Q26,3)</f>
        <v>68.048000000000002</v>
      </c>
      <c r="R26" s="380"/>
    </row>
    <row r="27" spans="1:18" s="3" customFormat="1" ht="14.45" customHeight="1" outlineLevel="1" x14ac:dyDescent="0.25">
      <c r="A27" s="428" t="s">
        <v>141</v>
      </c>
      <c r="B27" s="411" t="s">
        <v>164</v>
      </c>
      <c r="C27" s="431"/>
      <c r="D27" s="431"/>
      <c r="E27" s="431"/>
      <c r="F27" s="432"/>
      <c r="G27" s="415">
        <f>ROUND('2. Прогноз. Без корректировки'!G27,3)</f>
        <v>68.781000000000006</v>
      </c>
      <c r="H27" s="431"/>
      <c r="I27" s="431"/>
      <c r="J27" s="431"/>
      <c r="K27" s="432"/>
      <c r="L27" s="415">
        <f>ROUND('2. Прогноз. Без корректировки'!L27,3)</f>
        <v>68.781000000000006</v>
      </c>
      <c r="M27" s="431"/>
      <c r="N27" s="431"/>
      <c r="O27" s="431"/>
      <c r="P27" s="432"/>
      <c r="Q27" s="415">
        <f>ROUND('2. Прогноз. Без корректировки'!Q27,3)</f>
        <v>68.781000000000006</v>
      </c>
      <c r="R27" s="416"/>
    </row>
    <row r="28" spans="1:18" s="3" customFormat="1" ht="14.45" customHeight="1" outlineLevel="1" x14ac:dyDescent="0.25">
      <c r="A28" s="410" t="s">
        <v>163</v>
      </c>
      <c r="B28" s="411" t="s">
        <v>137</v>
      </c>
      <c r="C28" s="431"/>
      <c r="D28" s="431"/>
      <c r="E28" s="431"/>
      <c r="F28" s="432"/>
      <c r="G28" s="415">
        <f>ROUND('2. Прогноз. Без корректировки'!G28,3)</f>
        <v>997.68499999999995</v>
      </c>
      <c r="H28" s="431"/>
      <c r="I28" s="431"/>
      <c r="J28" s="431"/>
      <c r="K28" s="432"/>
      <c r="L28" s="415">
        <f>ROUND('2. Прогноз. Без корректировки'!L28,3)</f>
        <v>989.34500000000003</v>
      </c>
      <c r="M28" s="431"/>
      <c r="N28" s="431"/>
      <c r="O28" s="431"/>
      <c r="P28" s="432"/>
      <c r="Q28" s="415">
        <f>ROUND('2. Прогноз. Без корректировки'!Q28,3)</f>
        <v>989.34500000000003</v>
      </c>
      <c r="R28" s="416"/>
    </row>
    <row r="29" spans="1:18" x14ac:dyDescent="0.25">
      <c r="A29" s="393" t="s">
        <v>92</v>
      </c>
      <c r="B29" s="433" t="s">
        <v>135</v>
      </c>
      <c r="C29" s="395">
        <f>ROUND('2. Прогноз. Без корректировки'!C29,3)</f>
        <v>0</v>
      </c>
      <c r="D29" s="434">
        <f>ROUND('2. Прогноз. Без корректировки'!D29,3)</f>
        <v>0</v>
      </c>
      <c r="E29" s="434">
        <f>ROUND('2. Прогноз. Без корректировки'!E29,3)</f>
        <v>0.22900000000000001</v>
      </c>
      <c r="F29" s="435">
        <f>ROUND('2. Прогноз. Без корректировки'!F29,3)</f>
        <v>0</v>
      </c>
      <c r="G29" s="392">
        <f>ROUND('2. Прогноз. Без корректировки'!G29,3)</f>
        <v>0.22900000000000001</v>
      </c>
      <c r="H29" s="395">
        <f>ROUND('2. Прогноз. Без корректировки'!H29,3)</f>
        <v>0</v>
      </c>
      <c r="I29" s="434">
        <f>ROUND('2. Прогноз. Без корректировки'!I29,3)</f>
        <v>0</v>
      </c>
      <c r="J29" s="434">
        <f>ROUND('2. Прогноз. Без корректировки'!J29,3)</f>
        <v>0.153</v>
      </c>
      <c r="K29" s="435">
        <f>ROUND('2. Прогноз. Без корректировки'!K29,3)</f>
        <v>0</v>
      </c>
      <c r="L29" s="392">
        <f>ROUND('2. Прогноз. Без корректировки'!L29,3)</f>
        <v>0.153</v>
      </c>
      <c r="M29" s="395">
        <f>ROUND('2. Прогноз. Без корректировки'!M29,3)</f>
        <v>0</v>
      </c>
      <c r="N29" s="434">
        <f>ROUND('2. Прогноз. Без корректировки'!N29,3)</f>
        <v>0</v>
      </c>
      <c r="O29" s="434">
        <f>ROUND('2. Прогноз. Без корректировки'!O29,3)</f>
        <v>0.13800000000000001</v>
      </c>
      <c r="P29" s="435">
        <f>ROUND('2. Прогноз. Без корректировки'!P29,3)</f>
        <v>0</v>
      </c>
      <c r="Q29" s="392">
        <f>ROUND('2. Прогноз. Без корректировки'!Q29,3)</f>
        <v>0.13800000000000001</v>
      </c>
      <c r="R29" s="380"/>
    </row>
    <row r="30" spans="1:18" s="465" customFormat="1" outlineLevel="1" x14ac:dyDescent="0.25">
      <c r="A30" s="460" t="s">
        <v>47</v>
      </c>
      <c r="B30" s="411" t="s">
        <v>148</v>
      </c>
      <c r="C30" s="461"/>
      <c r="D30" s="462"/>
      <c r="E30" s="462"/>
      <c r="F30" s="463"/>
      <c r="G30" s="415">
        <f>ROUND('2. Прогноз. Без корректировки'!G30,3)</f>
        <v>3.0000000000000001E-3</v>
      </c>
      <c r="H30" s="461"/>
      <c r="I30" s="462"/>
      <c r="J30" s="462"/>
      <c r="K30" s="463"/>
      <c r="L30" s="415">
        <f>ROUND(G30,3)</f>
        <v>3.0000000000000001E-3</v>
      </c>
      <c r="M30" s="461"/>
      <c r="N30" s="462"/>
      <c r="O30" s="462"/>
      <c r="P30" s="463"/>
      <c r="Q30" s="415">
        <f>ROUND(G30,3)</f>
        <v>3.0000000000000001E-3</v>
      </c>
      <c r="R30" s="464"/>
    </row>
    <row r="31" spans="1:18" x14ac:dyDescent="0.25">
      <c r="A31" s="393" t="s">
        <v>93</v>
      </c>
      <c r="B31" s="429" t="s">
        <v>135</v>
      </c>
      <c r="C31" s="425">
        <f t="shared" ref="C31:Q31" si="2">ROUND(C32+C33,3)</f>
        <v>0.253</v>
      </c>
      <c r="D31" s="426">
        <f t="shared" si="2"/>
        <v>0.747</v>
      </c>
      <c r="E31" s="426">
        <f t="shared" si="2"/>
        <v>1.2</v>
      </c>
      <c r="F31" s="427">
        <f t="shared" si="2"/>
        <v>0.15</v>
      </c>
      <c r="G31" s="392">
        <f t="shared" si="2"/>
        <v>2.35</v>
      </c>
      <c r="H31" s="425">
        <f t="shared" si="2"/>
        <v>0.3</v>
      </c>
      <c r="I31" s="426">
        <f t="shared" si="2"/>
        <v>0.7</v>
      </c>
      <c r="J31" s="426">
        <f t="shared" si="2"/>
        <v>1.2</v>
      </c>
      <c r="K31" s="427">
        <f t="shared" si="2"/>
        <v>0.7</v>
      </c>
      <c r="L31" s="392">
        <f t="shared" si="2"/>
        <v>2.9</v>
      </c>
      <c r="M31" s="425">
        <f t="shared" si="2"/>
        <v>0.3</v>
      </c>
      <c r="N31" s="426">
        <f t="shared" si="2"/>
        <v>0.7</v>
      </c>
      <c r="O31" s="426">
        <f t="shared" si="2"/>
        <v>1.2</v>
      </c>
      <c r="P31" s="435">
        <f t="shared" si="2"/>
        <v>0.7</v>
      </c>
      <c r="Q31" s="392">
        <f t="shared" si="2"/>
        <v>2.9</v>
      </c>
      <c r="R31" s="380"/>
    </row>
    <row r="32" spans="1:18" s="3" customFormat="1" outlineLevel="1" x14ac:dyDescent="0.25">
      <c r="A32" s="410" t="s">
        <v>48</v>
      </c>
      <c r="B32" s="411" t="s">
        <v>135</v>
      </c>
      <c r="C32" s="412">
        <f>ROUND('1. Статистика'!N31,3)</f>
        <v>0.3</v>
      </c>
      <c r="D32" s="413">
        <f>ROUND('1. Статистика'!O31,3)</f>
        <v>0.7</v>
      </c>
      <c r="E32" s="413">
        <f>ROUND('1. Статистика'!P31,3)</f>
        <v>0.5</v>
      </c>
      <c r="F32" s="414">
        <f>ROUND('1. Статистика'!Q31,3)</f>
        <v>0.7</v>
      </c>
      <c r="G32" s="415">
        <f>ROUND(SUM(C32:F32),3)</f>
        <v>2.2000000000000002</v>
      </c>
      <c r="H32" s="412">
        <f>ROUND(C31,3)</f>
        <v>0.253</v>
      </c>
      <c r="I32" s="413">
        <f>ROUND(D31,3)</f>
        <v>0.747</v>
      </c>
      <c r="J32" s="413">
        <f>ROUND(E31,3)</f>
        <v>1.2</v>
      </c>
      <c r="K32" s="414">
        <f>ROUND(F31,3)</f>
        <v>0.15</v>
      </c>
      <c r="L32" s="415">
        <f>ROUND(SUM(H32:K32),3)</f>
        <v>2.35</v>
      </c>
      <c r="M32" s="412">
        <f>ROUND(H31,3)</f>
        <v>0.3</v>
      </c>
      <c r="N32" s="413">
        <f>ROUND(I31,3)</f>
        <v>0.7</v>
      </c>
      <c r="O32" s="413">
        <f>ROUND(J31,3)</f>
        <v>1.2</v>
      </c>
      <c r="P32" s="415">
        <f>ROUND(K31,3)</f>
        <v>0.7</v>
      </c>
      <c r="Q32" s="415">
        <f>ROUND(SUM(M32:P32),3)</f>
        <v>2.9</v>
      </c>
      <c r="R32" s="416"/>
    </row>
    <row r="33" spans="1:18" s="3" customFormat="1" outlineLevel="1" x14ac:dyDescent="0.25">
      <c r="A33" s="410" t="s">
        <v>49</v>
      </c>
      <c r="B33" s="411" t="s">
        <v>135</v>
      </c>
      <c r="C33" s="412">
        <f>ROUND('1. Статистика'!C98-C32,3)</f>
        <v>-4.7E-2</v>
      </c>
      <c r="D33" s="412">
        <f>ROUND('1. Статистика'!D98-D32,3)</f>
        <v>4.7E-2</v>
      </c>
      <c r="E33" s="412">
        <f>ROUND('1. Статистика'!E98-E32,3)</f>
        <v>0.7</v>
      </c>
      <c r="F33" s="417">
        <f>ROUND('1. Статистика'!F98-F32,3)</f>
        <v>-0.55000000000000004</v>
      </c>
      <c r="G33" s="415">
        <f>ROUND(SUM(C33:F33),3)</f>
        <v>0.15</v>
      </c>
      <c r="H33" s="412">
        <f>ROUND('1. Статистика'!G98-H32,3)</f>
        <v>4.7E-2</v>
      </c>
      <c r="I33" s="412">
        <f>ROUND('1. Статистика'!H98-I32,3)</f>
        <v>-4.7E-2</v>
      </c>
      <c r="J33" s="412">
        <f>ROUND('1. Статистика'!I98-J32,3)</f>
        <v>0</v>
      </c>
      <c r="K33" s="412">
        <f>ROUND('1. Статистика'!J98-K32,3)</f>
        <v>0.55000000000000004</v>
      </c>
      <c r="L33" s="415">
        <f>ROUND(SUM(H33:K33),3)</f>
        <v>0.55000000000000004</v>
      </c>
      <c r="M33" s="412">
        <f>ROUND('1. Статистика'!K98-M32,3)</f>
        <v>0</v>
      </c>
      <c r="N33" s="412">
        <f>ROUND('1. Статистика'!L98-N32,3)</f>
        <v>0</v>
      </c>
      <c r="O33" s="412">
        <f>ROUND('1. Статистика'!M98-O32,3)</f>
        <v>0</v>
      </c>
      <c r="P33" s="412">
        <f>ROUND('1. Статистика'!N98-P32,3)</f>
        <v>0</v>
      </c>
      <c r="Q33" s="415">
        <f>ROUND(SUM(M33:P33),3)</f>
        <v>0</v>
      </c>
      <c r="R33" s="416"/>
    </row>
    <row r="34" spans="1:18" x14ac:dyDescent="0.25">
      <c r="A34" s="418" t="s">
        <v>43</v>
      </c>
      <c r="B34" s="419" t="s">
        <v>135</v>
      </c>
      <c r="C34" s="420">
        <f t="shared" ref="C34:Q34" si="3">ROUND(C21+C31+C26+C29,3)</f>
        <v>13.103</v>
      </c>
      <c r="D34" s="420">
        <f t="shared" si="3"/>
        <v>21.492000000000001</v>
      </c>
      <c r="E34" s="420">
        <f t="shared" si="3"/>
        <v>25.734999999999999</v>
      </c>
      <c r="F34" s="421">
        <f t="shared" si="3"/>
        <v>11.170999999999999</v>
      </c>
      <c r="G34" s="422">
        <f t="shared" si="3"/>
        <v>71.501000000000005</v>
      </c>
      <c r="H34" s="420">
        <f t="shared" si="3"/>
        <v>13.042999999999999</v>
      </c>
      <c r="I34" s="420">
        <f t="shared" si="3"/>
        <v>21.271999999999998</v>
      </c>
      <c r="J34" s="420">
        <f t="shared" si="3"/>
        <v>25.457000000000001</v>
      </c>
      <c r="K34" s="420">
        <f t="shared" si="3"/>
        <v>11.629</v>
      </c>
      <c r="L34" s="422">
        <f t="shared" si="3"/>
        <v>71.400999999999996</v>
      </c>
      <c r="M34" s="420">
        <f t="shared" si="3"/>
        <v>13.042999999999999</v>
      </c>
      <c r="N34" s="420">
        <f t="shared" si="3"/>
        <v>21.271999999999998</v>
      </c>
      <c r="O34" s="420">
        <f t="shared" si="3"/>
        <v>25.442</v>
      </c>
      <c r="P34" s="420">
        <f t="shared" si="3"/>
        <v>11.629</v>
      </c>
      <c r="Q34" s="422">
        <f t="shared" si="3"/>
        <v>71.385999999999996</v>
      </c>
      <c r="R34" s="380"/>
    </row>
    <row r="35" spans="1:18" ht="15.75" thickBot="1" x14ac:dyDescent="0.3">
      <c r="A35" s="436" t="s">
        <v>50</v>
      </c>
      <c r="B35" s="437" t="s">
        <v>135</v>
      </c>
      <c r="C35" s="438">
        <f t="shared" ref="C35:Q35" si="4">ROUND(C20-C34,3)</f>
        <v>2.944</v>
      </c>
      <c r="D35" s="439">
        <f t="shared" si="4"/>
        <v>4.0730000000000004</v>
      </c>
      <c r="E35" s="439">
        <f t="shared" si="4"/>
        <v>2.6230000000000002</v>
      </c>
      <c r="F35" s="440">
        <f t="shared" si="4"/>
        <v>3.0019999999999998</v>
      </c>
      <c r="G35" s="441">
        <f t="shared" si="4"/>
        <v>3.0019999999999998</v>
      </c>
      <c r="H35" s="438">
        <f t="shared" si="4"/>
        <v>2.9590000000000001</v>
      </c>
      <c r="I35" s="439">
        <f t="shared" si="4"/>
        <v>4.5129999999999999</v>
      </c>
      <c r="J35" s="439">
        <f t="shared" si="4"/>
        <v>4.3410000000000002</v>
      </c>
      <c r="K35" s="440">
        <f t="shared" si="4"/>
        <v>4.2119999999999997</v>
      </c>
      <c r="L35" s="441">
        <f t="shared" si="4"/>
        <v>4.2119999999999997</v>
      </c>
      <c r="M35" s="438">
        <f t="shared" si="4"/>
        <v>4.1689999999999996</v>
      </c>
      <c r="N35" s="439">
        <f t="shared" si="4"/>
        <v>5.7789999999999999</v>
      </c>
      <c r="O35" s="439">
        <f t="shared" si="4"/>
        <v>6.5730000000000004</v>
      </c>
      <c r="P35" s="439">
        <f t="shared" si="4"/>
        <v>6.444</v>
      </c>
      <c r="Q35" s="441">
        <f t="shared" si="4"/>
        <v>6.444</v>
      </c>
      <c r="R35" s="380"/>
    </row>
    <row r="36" spans="1:18" x14ac:dyDescent="0.25">
      <c r="A36" s="442"/>
      <c r="B36" s="443"/>
      <c r="C36" s="444"/>
      <c r="D36" s="444"/>
      <c r="E36" s="444"/>
      <c r="F36" s="444"/>
      <c r="G36" s="444"/>
      <c r="H36" s="444"/>
      <c r="I36" s="444"/>
      <c r="J36" s="444"/>
      <c r="K36" s="444"/>
      <c r="L36" s="445"/>
      <c r="M36" s="444"/>
      <c r="N36" s="444"/>
      <c r="O36" s="444"/>
      <c r="P36" s="444"/>
      <c r="Q36" s="444"/>
      <c r="R36" s="380"/>
    </row>
    <row r="37" spans="1:18" x14ac:dyDescent="0.25">
      <c r="A37" s="442"/>
      <c r="B37" s="443"/>
      <c r="C37" s="444"/>
      <c r="D37" s="444"/>
      <c r="E37" s="444"/>
      <c r="F37" s="444"/>
      <c r="G37" s="444"/>
      <c r="H37" s="444"/>
      <c r="I37" s="444"/>
      <c r="J37" s="444"/>
      <c r="K37" s="444"/>
      <c r="L37" s="444"/>
      <c r="M37" s="444"/>
      <c r="N37" s="444"/>
      <c r="O37" s="444"/>
      <c r="P37" s="444"/>
      <c r="Q37" s="446"/>
      <c r="R37" s="380"/>
    </row>
    <row r="38" spans="1:18" s="304" customFormat="1" x14ac:dyDescent="0.25">
      <c r="A38" s="447" t="s">
        <v>87</v>
      </c>
      <c r="B38" s="448"/>
      <c r="C38" s="449">
        <f t="shared" ref="C38:Q38" si="5">ROUND(C20-C34-C35,3)</f>
        <v>0</v>
      </c>
      <c r="D38" s="449">
        <f t="shared" si="5"/>
        <v>0</v>
      </c>
      <c r="E38" s="449">
        <f t="shared" si="5"/>
        <v>0</v>
      </c>
      <c r="F38" s="449">
        <f t="shared" si="5"/>
        <v>0</v>
      </c>
      <c r="G38" s="450">
        <f t="shared" si="5"/>
        <v>0</v>
      </c>
      <c r="H38" s="449">
        <f t="shared" si="5"/>
        <v>0</v>
      </c>
      <c r="I38" s="449">
        <f t="shared" si="5"/>
        <v>0</v>
      </c>
      <c r="J38" s="449">
        <f t="shared" si="5"/>
        <v>0</v>
      </c>
      <c r="K38" s="449">
        <f t="shared" si="5"/>
        <v>0</v>
      </c>
      <c r="L38" s="450">
        <f t="shared" si="5"/>
        <v>0</v>
      </c>
      <c r="M38" s="449">
        <f t="shared" si="5"/>
        <v>0</v>
      </c>
      <c r="N38" s="449">
        <f t="shared" si="5"/>
        <v>0</v>
      </c>
      <c r="O38" s="449">
        <f t="shared" si="5"/>
        <v>0</v>
      </c>
      <c r="P38" s="449">
        <f t="shared" si="5"/>
        <v>0</v>
      </c>
      <c r="Q38" s="450">
        <f t="shared" si="5"/>
        <v>0</v>
      </c>
      <c r="R38" s="451"/>
    </row>
    <row r="39" spans="1:18" s="304" customFormat="1" x14ac:dyDescent="0.25">
      <c r="A39" s="305"/>
      <c r="B39" s="303"/>
      <c r="C39" s="347"/>
      <c r="D39" s="347"/>
      <c r="E39" s="347"/>
      <c r="F39" s="347"/>
      <c r="G39" s="348"/>
      <c r="H39" s="347"/>
      <c r="I39" s="347"/>
      <c r="J39" s="347"/>
      <c r="K39" s="347"/>
      <c r="L39" s="348"/>
      <c r="M39" s="347"/>
      <c r="N39" s="347"/>
      <c r="O39" s="347"/>
      <c r="P39" s="347"/>
      <c r="Q39" s="348"/>
    </row>
    <row r="40" spans="1:18" s="304" customFormat="1" x14ac:dyDescent="0.25">
      <c r="A40" s="306"/>
      <c r="B40" s="303"/>
      <c r="C40" s="347"/>
      <c r="D40" s="347"/>
      <c r="E40" s="347"/>
      <c r="F40" s="347"/>
      <c r="G40" s="348"/>
      <c r="H40" s="347"/>
      <c r="I40" s="347"/>
      <c r="J40" s="347"/>
      <c r="K40" s="347"/>
      <c r="L40" s="348"/>
      <c r="M40" s="347"/>
      <c r="N40" s="347"/>
      <c r="O40" s="347"/>
      <c r="P40" s="347"/>
      <c r="Q40" s="348"/>
    </row>
    <row r="41" spans="1:18" s="304" customFormat="1" x14ac:dyDescent="0.25">
      <c r="A41" s="302" t="s">
        <v>51</v>
      </c>
      <c r="B41" s="303"/>
      <c r="C41" s="345">
        <f t="shared" ref="C41:Q41" si="6">ROUND(C9+C10+C17-C21-C29-C31-C26-C35,3)</f>
        <v>0</v>
      </c>
      <c r="D41" s="345">
        <f t="shared" si="6"/>
        <v>0</v>
      </c>
      <c r="E41" s="345">
        <f t="shared" si="6"/>
        <v>0</v>
      </c>
      <c r="F41" s="345">
        <f t="shared" si="6"/>
        <v>0</v>
      </c>
      <c r="G41" s="346">
        <f t="shared" si="6"/>
        <v>0</v>
      </c>
      <c r="H41" s="345">
        <f t="shared" si="6"/>
        <v>0</v>
      </c>
      <c r="I41" s="345">
        <f t="shared" si="6"/>
        <v>0</v>
      </c>
      <c r="J41" s="345">
        <f t="shared" si="6"/>
        <v>0</v>
      </c>
      <c r="K41" s="345">
        <f t="shared" si="6"/>
        <v>0</v>
      </c>
      <c r="L41" s="346">
        <f t="shared" si="6"/>
        <v>0</v>
      </c>
      <c r="M41" s="345">
        <f t="shared" si="6"/>
        <v>0</v>
      </c>
      <c r="N41" s="345">
        <f t="shared" si="6"/>
        <v>0</v>
      </c>
      <c r="O41" s="345">
        <f t="shared" si="6"/>
        <v>0</v>
      </c>
      <c r="P41" s="345">
        <f t="shared" si="6"/>
        <v>0</v>
      </c>
      <c r="Q41" s="346">
        <f t="shared" si="6"/>
        <v>0</v>
      </c>
    </row>
    <row r="42" spans="1:18" x14ac:dyDescent="0.25">
      <c r="C42" s="349"/>
      <c r="D42" s="349"/>
      <c r="E42" s="349"/>
      <c r="F42" s="349"/>
      <c r="G42" s="349"/>
      <c r="H42" s="349"/>
      <c r="I42" s="349"/>
      <c r="J42" s="349"/>
      <c r="K42" s="349"/>
      <c r="L42" s="349"/>
      <c r="M42" s="349"/>
      <c r="N42" s="349"/>
      <c r="O42" s="349"/>
      <c r="P42" s="349"/>
      <c r="Q42" s="349"/>
    </row>
  </sheetData>
  <sheetProtection algorithmName="SHA-512" hashValue="57CVWGZ8S0wM4OUa1mnBaNvBL0Ub9oT2obQslsjdFRzAy+N5LWhJcbfT9Avy4Sq+6WiUlQ0gJmqJiE0BoyrRuw==" saltValue="8E1VosyEUjZV9qFacF9Axw==" spinCount="100000" sheet="1" objects="1" scenarios="1"/>
  <mergeCells count="8">
    <mergeCell ref="M7:P7"/>
    <mergeCell ref="Q7:Q8"/>
    <mergeCell ref="A7:A8"/>
    <mergeCell ref="B7:B8"/>
    <mergeCell ref="C7:F7"/>
    <mergeCell ref="G7:G8"/>
    <mergeCell ref="H7:K7"/>
    <mergeCell ref="L7:L8"/>
  </mergeCells>
  <phoneticPr fontId="19" type="noConversion"/>
  <dataValidations count="3">
    <dataValidation type="decimal" operator="greaterThan" allowBlank="1" showInputMessage="1" showErrorMessage="1" sqref="M21:P30 H19:K19 H32:K33 Q29 C19:F19 G29 L29 D32:F33 M32:P33 M19:P19 C21:C33 D21:F30 H21:K30 D31:Q31 G21 L21 Q21">
      <formula1>-1000000000</formula1>
    </dataValidation>
    <dataValidation type="decimal" operator="greaterThan" allowBlank="1" showInputMessage="1" showErrorMessage="1" errorTitle="Недопустимое значение" error="Вы ввели недопустимое значение (текст). В ячейках допускает ввод только числовых значений." sqref="L17:L19 G17:G19 Q17:Q19">
      <formula1>-1000000000</formula1>
    </dataValidation>
    <dataValidation operator="greaterThan" allowBlank="1" showInputMessage="1" showErrorMessage="1" sqref="Q27:Q28 C20:Q20 C26:Q26 L27:L28 C19:F19 H19:K19"/>
  </dataValidations>
  <pageMargins left="0.7" right="0.7" top="0.75" bottom="0.75" header="0.3" footer="0.3"/>
  <pageSetup paperSize="9" scale="4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R19"/>
  <sheetViews>
    <sheetView zoomScaleNormal="100" workbookViewId="0">
      <selection activeCell="R1" sqref="R1"/>
    </sheetView>
  </sheetViews>
  <sheetFormatPr defaultRowHeight="15" x14ac:dyDescent="0.25"/>
  <cols>
    <col min="1" max="1" width="40" customWidth="1"/>
    <col min="2" max="5" width="13" customWidth="1"/>
    <col min="6" max="6" width="10" customWidth="1"/>
    <col min="7" max="10" width="13" customWidth="1"/>
    <col min="11" max="11" width="10" customWidth="1"/>
    <col min="12" max="15" width="13" customWidth="1"/>
    <col min="16" max="16" width="10" customWidth="1"/>
    <col min="18" max="18" width="10.140625" bestFit="1" customWidth="1"/>
  </cols>
  <sheetData>
    <row r="1" spans="1:18" x14ac:dyDescent="0.25">
      <c r="B1" s="275" t="s">
        <v>65</v>
      </c>
      <c r="C1" s="275" t="s">
        <v>66</v>
      </c>
      <c r="D1" s="275" t="s">
        <v>67</v>
      </c>
      <c r="E1" s="275" t="s">
        <v>68</v>
      </c>
      <c r="F1" s="275" t="s">
        <v>69</v>
      </c>
      <c r="G1" s="275" t="s">
        <v>70</v>
      </c>
      <c r="H1" s="275" t="s">
        <v>71</v>
      </c>
      <c r="I1" s="275" t="s">
        <v>72</v>
      </c>
      <c r="J1" s="275" t="s">
        <v>73</v>
      </c>
      <c r="K1" s="275" t="s">
        <v>74</v>
      </c>
      <c r="L1" s="275" t="s">
        <v>75</v>
      </c>
      <c r="M1" s="275" t="s">
        <v>76</v>
      </c>
      <c r="N1" s="275" t="s">
        <v>77</v>
      </c>
      <c r="O1" s="275" t="s">
        <v>78</v>
      </c>
      <c r="P1" s="275" t="s">
        <v>79</v>
      </c>
      <c r="Q1" s="30" t="s">
        <v>170</v>
      </c>
      <c r="R1" s="471">
        <v>44470</v>
      </c>
    </row>
    <row r="2" spans="1:18" ht="16.5" thickBot="1" x14ac:dyDescent="0.3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R2">
        <f>IF(Date="","XXX",Date)</f>
        <v>44470</v>
      </c>
    </row>
    <row r="3" spans="1:18" x14ac:dyDescent="0.25">
      <c r="A3" s="559" t="s">
        <v>16</v>
      </c>
      <c r="B3" s="561" t="str">
        <f>YEAR(Test_date)&amp;" год"</f>
        <v>2021 год</v>
      </c>
      <c r="C3" s="562"/>
      <c r="D3" s="562"/>
      <c r="E3" s="563"/>
      <c r="F3" s="557" t="str">
        <f>B3</f>
        <v>2021 год</v>
      </c>
      <c r="G3" s="561" t="str">
        <f>(LEFT(B3,4)+1)&amp;" год"</f>
        <v>2022 год</v>
      </c>
      <c r="H3" s="562"/>
      <c r="I3" s="562"/>
      <c r="J3" s="563"/>
      <c r="K3" s="557" t="str">
        <f>G3</f>
        <v>2022 год</v>
      </c>
      <c r="L3" s="561" t="str">
        <f>(LEFT(G3,4)+1)&amp;" год"</f>
        <v>2023 год</v>
      </c>
      <c r="M3" s="562"/>
      <c r="N3" s="562"/>
      <c r="O3" s="563"/>
      <c r="P3" s="557" t="str">
        <f>L3</f>
        <v>2023 год</v>
      </c>
    </row>
    <row r="4" spans="1:18" ht="15.75" thickBot="1" x14ac:dyDescent="0.3">
      <c r="A4" s="560"/>
      <c r="B4" s="472">
        <v>1</v>
      </c>
      <c r="C4" s="473">
        <v>2</v>
      </c>
      <c r="D4" s="473">
        <v>3</v>
      </c>
      <c r="E4" s="474">
        <v>4</v>
      </c>
      <c r="F4" s="558"/>
      <c r="G4" s="472">
        <v>1</v>
      </c>
      <c r="H4" s="473">
        <v>2</v>
      </c>
      <c r="I4" s="473">
        <v>3</v>
      </c>
      <c r="J4" s="474">
        <v>4</v>
      </c>
      <c r="K4" s="558"/>
      <c r="L4" s="472">
        <v>1</v>
      </c>
      <c r="M4" s="473">
        <v>2</v>
      </c>
      <c r="N4" s="473">
        <v>3</v>
      </c>
      <c r="O4" s="474">
        <v>4</v>
      </c>
      <c r="P4" s="558"/>
    </row>
    <row r="5" spans="1:18" x14ac:dyDescent="0.25">
      <c r="A5" s="235" t="s">
        <v>4</v>
      </c>
      <c r="B5" s="234">
        <f ca="1">ROUND(INDIRECT("'3.Прогноз.С корректировкой таб9'!"&amp;B$1&amp;$Q5),3)</f>
        <v>3</v>
      </c>
      <c r="C5" s="85"/>
      <c r="D5" s="85"/>
      <c r="E5" s="86"/>
      <c r="F5" s="87"/>
      <c r="G5" s="88"/>
      <c r="H5" s="85"/>
      <c r="I5" s="85"/>
      <c r="J5" s="86"/>
      <c r="K5" s="87"/>
      <c r="L5" s="88"/>
      <c r="M5" s="85"/>
      <c r="N5" s="85"/>
      <c r="O5" s="86"/>
      <c r="P5" s="87"/>
      <c r="Q5" s="54">
        <v>9</v>
      </c>
      <c r="R5" s="233"/>
    </row>
    <row r="6" spans="1:18" x14ac:dyDescent="0.25">
      <c r="A6" s="236" t="s">
        <v>7</v>
      </c>
      <c r="B6" s="234">
        <f t="shared" ref="B6:O12" ca="1" si="0">ROUND(INDIRECT("'3.Прогноз.С корректировкой таб9'!"&amp;B$1&amp;$Q6),3)</f>
        <v>0</v>
      </c>
      <c r="C6" s="153">
        <f t="shared" ca="1" si="0"/>
        <v>2.367</v>
      </c>
      <c r="D6" s="153">
        <f t="shared" ca="1" si="0"/>
        <v>14.885</v>
      </c>
      <c r="E6" s="153">
        <f t="shared" ca="1" si="0"/>
        <v>0</v>
      </c>
      <c r="F6" s="56"/>
      <c r="G6" s="153">
        <f t="shared" ca="1" si="0"/>
        <v>0</v>
      </c>
      <c r="H6" s="153">
        <f t="shared" ca="1" si="0"/>
        <v>2.5259999999999998</v>
      </c>
      <c r="I6" s="153">
        <f t="shared" ca="1" si="0"/>
        <v>15.885</v>
      </c>
      <c r="J6" s="153">
        <f t="shared" ca="1" si="0"/>
        <v>0</v>
      </c>
      <c r="K6" s="56"/>
      <c r="L6" s="153">
        <f t="shared" ca="1" si="0"/>
        <v>0</v>
      </c>
      <c r="M6" s="153">
        <f t="shared" ca="1" si="0"/>
        <v>2.5819999999999999</v>
      </c>
      <c r="N6" s="153">
        <f t="shared" ca="1" si="0"/>
        <v>16.236000000000001</v>
      </c>
      <c r="O6" s="153">
        <f t="shared" ca="1" si="0"/>
        <v>0</v>
      </c>
      <c r="P6" s="56"/>
      <c r="Q6" s="54">
        <v>10</v>
      </c>
      <c r="R6" s="233"/>
    </row>
    <row r="7" spans="1:18" x14ac:dyDescent="0.25">
      <c r="A7" s="236" t="s">
        <v>64</v>
      </c>
      <c r="B7" s="234">
        <f t="shared" ca="1" si="0"/>
        <v>13.047000000000001</v>
      </c>
      <c r="C7" s="153">
        <f t="shared" ca="1" si="0"/>
        <v>20.254000000000001</v>
      </c>
      <c r="D7" s="153">
        <f t="shared" ca="1" si="0"/>
        <v>9.4</v>
      </c>
      <c r="E7" s="153">
        <f t="shared" ca="1" si="0"/>
        <v>11.55</v>
      </c>
      <c r="F7" s="58"/>
      <c r="G7" s="153">
        <f t="shared" ca="1" si="0"/>
        <v>13</v>
      </c>
      <c r="H7" s="153">
        <f t="shared" ca="1" si="0"/>
        <v>20.3</v>
      </c>
      <c r="I7" s="153">
        <f t="shared" ca="1" si="0"/>
        <v>9.4</v>
      </c>
      <c r="J7" s="153">
        <f t="shared" ca="1" si="0"/>
        <v>11.5</v>
      </c>
      <c r="K7" s="58"/>
      <c r="L7" s="153">
        <f t="shared" ca="1" si="0"/>
        <v>13</v>
      </c>
      <c r="M7" s="153">
        <f t="shared" ca="1" si="0"/>
        <v>20.3</v>
      </c>
      <c r="N7" s="153">
        <f t="shared" ca="1" si="0"/>
        <v>10</v>
      </c>
      <c r="O7" s="153">
        <f t="shared" ca="1" si="0"/>
        <v>11.5</v>
      </c>
      <c r="P7" s="58"/>
      <c r="Q7" s="232">
        <v>17</v>
      </c>
      <c r="R7" s="233"/>
    </row>
    <row r="8" spans="1:18" x14ac:dyDescent="0.25">
      <c r="A8" s="236" t="s">
        <v>63</v>
      </c>
      <c r="B8" s="88"/>
      <c r="C8" s="85"/>
      <c r="D8" s="85"/>
      <c r="E8" s="85"/>
      <c r="F8" s="56"/>
      <c r="G8" s="85"/>
      <c r="H8" s="85"/>
      <c r="I8" s="85"/>
      <c r="J8" s="85"/>
      <c r="K8" s="56"/>
      <c r="L8" s="85"/>
      <c r="M8" s="85"/>
      <c r="N8" s="85"/>
      <c r="O8" s="85"/>
      <c r="P8" s="56"/>
      <c r="Q8" s="54">
        <v>20</v>
      </c>
      <c r="R8" s="233"/>
    </row>
    <row r="9" spans="1:18" x14ac:dyDescent="0.25">
      <c r="A9" s="236" t="s">
        <v>97</v>
      </c>
      <c r="B9" s="234">
        <f t="shared" ca="1" si="0"/>
        <v>0</v>
      </c>
      <c r="C9" s="153">
        <f t="shared" ca="1" si="0"/>
        <v>0.23</v>
      </c>
      <c r="D9" s="153">
        <f t="shared" ca="1" si="0"/>
        <v>7.0000000000000007E-2</v>
      </c>
      <c r="E9" s="153">
        <f t="shared" ca="1" si="0"/>
        <v>0</v>
      </c>
      <c r="F9" s="59"/>
      <c r="G9" s="153">
        <f t="shared" ca="1" si="0"/>
        <v>0</v>
      </c>
      <c r="H9" s="153">
        <f t="shared" ca="1" si="0"/>
        <v>0.23</v>
      </c>
      <c r="I9" s="153">
        <f t="shared" ca="1" si="0"/>
        <v>7.0000000000000007E-2</v>
      </c>
      <c r="J9" s="153">
        <f t="shared" ca="1" si="0"/>
        <v>0</v>
      </c>
      <c r="K9" s="59"/>
      <c r="L9" s="153">
        <f t="shared" ca="1" si="0"/>
        <v>0</v>
      </c>
      <c r="M9" s="153">
        <f t="shared" ca="1" si="0"/>
        <v>0.23</v>
      </c>
      <c r="N9" s="153">
        <f t="shared" ca="1" si="0"/>
        <v>7.0000000000000007E-2</v>
      </c>
      <c r="O9" s="153">
        <f t="shared" ca="1" si="0"/>
        <v>0</v>
      </c>
      <c r="P9" s="59"/>
      <c r="Q9" s="53">
        <v>21</v>
      </c>
      <c r="R9" s="233"/>
    </row>
    <row r="10" spans="1:18" x14ac:dyDescent="0.25">
      <c r="A10" s="236" t="s">
        <v>6</v>
      </c>
      <c r="B10" s="234">
        <f t="shared" ca="1" si="0"/>
        <v>12.85</v>
      </c>
      <c r="C10" s="153">
        <f t="shared" ca="1" si="0"/>
        <v>20.515000000000001</v>
      </c>
      <c r="D10" s="153">
        <f t="shared" ca="1" si="0"/>
        <v>24.236000000000001</v>
      </c>
      <c r="E10" s="153">
        <f t="shared" ca="1" si="0"/>
        <v>11.021000000000001</v>
      </c>
      <c r="F10" s="56"/>
      <c r="G10" s="153">
        <f t="shared" ca="1" si="0"/>
        <v>12.743</v>
      </c>
      <c r="H10" s="153">
        <f t="shared" ca="1" si="0"/>
        <v>20.341999999999999</v>
      </c>
      <c r="I10" s="153">
        <f t="shared" ca="1" si="0"/>
        <v>24.033999999999999</v>
      </c>
      <c r="J10" s="153">
        <f t="shared" ca="1" si="0"/>
        <v>10.929</v>
      </c>
      <c r="K10" s="56"/>
      <c r="L10" s="153">
        <f t="shared" ca="1" si="0"/>
        <v>12.743</v>
      </c>
      <c r="M10" s="153">
        <f t="shared" ca="1" si="0"/>
        <v>20.341999999999999</v>
      </c>
      <c r="N10" s="153">
        <f t="shared" ca="1" si="0"/>
        <v>24.033999999999999</v>
      </c>
      <c r="O10" s="153">
        <f t="shared" ca="1" si="0"/>
        <v>10.929</v>
      </c>
      <c r="P10" s="56"/>
      <c r="Q10" s="54">
        <v>26</v>
      </c>
      <c r="R10" s="233"/>
    </row>
    <row r="11" spans="1:18" x14ac:dyDescent="0.25">
      <c r="A11" s="236" t="s">
        <v>5</v>
      </c>
      <c r="B11" s="234">
        <f t="shared" ca="1" si="0"/>
        <v>0</v>
      </c>
      <c r="C11" s="153">
        <f t="shared" ca="1" si="0"/>
        <v>0</v>
      </c>
      <c r="D11" s="153">
        <f t="shared" ca="1" si="0"/>
        <v>0.22900000000000001</v>
      </c>
      <c r="E11" s="153">
        <f t="shared" ca="1" si="0"/>
        <v>0</v>
      </c>
      <c r="F11" s="57"/>
      <c r="G11" s="153">
        <f t="shared" ca="1" si="0"/>
        <v>0</v>
      </c>
      <c r="H11" s="153">
        <f t="shared" ca="1" si="0"/>
        <v>0</v>
      </c>
      <c r="I11" s="153">
        <f t="shared" ca="1" si="0"/>
        <v>0.153</v>
      </c>
      <c r="J11" s="153">
        <f t="shared" ca="1" si="0"/>
        <v>0</v>
      </c>
      <c r="K11" s="57"/>
      <c r="L11" s="153">
        <f t="shared" ca="1" si="0"/>
        <v>0</v>
      </c>
      <c r="M11" s="153">
        <f t="shared" ca="1" si="0"/>
        <v>0</v>
      </c>
      <c r="N11" s="153">
        <f t="shared" ca="1" si="0"/>
        <v>0.13800000000000001</v>
      </c>
      <c r="O11" s="153">
        <f t="shared" ca="1" si="0"/>
        <v>0</v>
      </c>
      <c r="P11" s="57"/>
      <c r="Q11" s="54">
        <v>29</v>
      </c>
      <c r="R11" s="233"/>
    </row>
    <row r="12" spans="1:18" x14ac:dyDescent="0.25">
      <c r="A12" s="236" t="s">
        <v>62</v>
      </c>
      <c r="B12" s="234">
        <f t="shared" ca="1" si="0"/>
        <v>0.253</v>
      </c>
      <c r="C12" s="153">
        <f t="shared" ca="1" si="0"/>
        <v>0.747</v>
      </c>
      <c r="D12" s="153">
        <f t="shared" ca="1" si="0"/>
        <v>1.2</v>
      </c>
      <c r="E12" s="153">
        <f t="shared" ca="1" si="0"/>
        <v>0.15</v>
      </c>
      <c r="F12" s="56"/>
      <c r="G12" s="153">
        <f t="shared" ca="1" si="0"/>
        <v>0.3</v>
      </c>
      <c r="H12" s="153">
        <f t="shared" ca="1" si="0"/>
        <v>0.7</v>
      </c>
      <c r="I12" s="153">
        <f t="shared" ca="1" si="0"/>
        <v>1.2</v>
      </c>
      <c r="J12" s="153">
        <f t="shared" ca="1" si="0"/>
        <v>0.7</v>
      </c>
      <c r="K12" s="56"/>
      <c r="L12" s="153">
        <f t="shared" ca="1" si="0"/>
        <v>0.3</v>
      </c>
      <c r="M12" s="153">
        <f t="shared" ca="1" si="0"/>
        <v>0.7</v>
      </c>
      <c r="N12" s="153">
        <f t="shared" ca="1" si="0"/>
        <v>1.2</v>
      </c>
      <c r="O12" s="153">
        <f t="shared" ca="1" si="0"/>
        <v>0.7</v>
      </c>
      <c r="P12" s="56"/>
      <c r="Q12" s="54">
        <v>31</v>
      </c>
      <c r="R12" s="233"/>
    </row>
    <row r="13" spans="1:18" x14ac:dyDescent="0.25">
      <c r="A13" s="236" t="s">
        <v>61</v>
      </c>
      <c r="B13" s="88"/>
      <c r="C13" s="85"/>
      <c r="D13" s="85"/>
      <c r="E13" s="85"/>
      <c r="F13" s="56"/>
      <c r="G13" s="85"/>
      <c r="H13" s="85"/>
      <c r="I13" s="85"/>
      <c r="J13" s="85"/>
      <c r="K13" s="56"/>
      <c r="L13" s="85"/>
      <c r="M13" s="85"/>
      <c r="N13" s="85"/>
      <c r="O13" s="85"/>
      <c r="P13" s="56"/>
      <c r="Q13" s="54">
        <v>34</v>
      </c>
      <c r="R13" s="233"/>
    </row>
    <row r="14" spans="1:18" ht="15.75" thickBot="1" x14ac:dyDescent="0.3">
      <c r="A14" s="237" t="s">
        <v>8</v>
      </c>
      <c r="B14" s="238">
        <f ca="1">B5+B6+B7-B9-B10-B11-B12</f>
        <v>2.9440000000000008</v>
      </c>
      <c r="C14" s="239">
        <f ca="1">B14+C6+C7-C9-C10-C11-C12</f>
        <v>4.0730000000000004</v>
      </c>
      <c r="D14" s="239">
        <f t="shared" ref="D14:E14" ca="1" si="1">C14+D6+D7-D9-D10-D11-D12</f>
        <v>2.6229999999999958</v>
      </c>
      <c r="E14" s="239">
        <f t="shared" ca="1" si="1"/>
        <v>3.0019999999999958</v>
      </c>
      <c r="F14" s="240"/>
      <c r="G14" s="239">
        <f ca="1">E14+G6+G7-G9-G10-G11-G12</f>
        <v>2.9589999999999952</v>
      </c>
      <c r="H14" s="239">
        <f ca="1">G14+H6+H7-H9-H10-H11-H12</f>
        <v>4.5129999999999972</v>
      </c>
      <c r="I14" s="239">
        <f t="shared" ref="I14:J14" ca="1" si="2">H14+I6+I7-I9-I10-I11-I12</f>
        <v>4.3409999999999958</v>
      </c>
      <c r="J14" s="239">
        <f t="shared" ca="1" si="2"/>
        <v>4.2119999999999953</v>
      </c>
      <c r="K14" s="240"/>
      <c r="L14" s="239">
        <f ca="1">J14+L6+L7-L9-L10-L11-L12</f>
        <v>4.168999999999996</v>
      </c>
      <c r="M14" s="239">
        <f ca="1">L14+M6+M7-M9-M10-M11-M12</f>
        <v>5.7789999999999955</v>
      </c>
      <c r="N14" s="239">
        <f t="shared" ref="N14:O14" ca="1" si="3">M14+N6+N7-N9-N10-N11-N12</f>
        <v>6.5730000000000013</v>
      </c>
      <c r="O14" s="239">
        <f t="shared" ca="1" si="3"/>
        <v>6.444</v>
      </c>
      <c r="P14" s="240"/>
      <c r="Q14" s="54">
        <v>35</v>
      </c>
      <c r="R14" s="233"/>
    </row>
    <row r="15" spans="1:18" ht="15.75" thickBot="1" x14ac:dyDescent="0.3">
      <c r="A15" s="241" t="s">
        <v>60</v>
      </c>
      <c r="B15" s="242">
        <v>0</v>
      </c>
      <c r="C15" s="243">
        <v>0</v>
      </c>
      <c r="D15" s="243">
        <v>0</v>
      </c>
      <c r="E15" s="244">
        <v>0</v>
      </c>
      <c r="F15" s="245"/>
      <c r="G15" s="242">
        <v>0</v>
      </c>
      <c r="H15" s="243">
        <v>0</v>
      </c>
      <c r="I15" s="243">
        <v>0</v>
      </c>
      <c r="J15" s="244">
        <v>0</v>
      </c>
      <c r="K15" s="245"/>
      <c r="L15" s="242">
        <v>0</v>
      </c>
      <c r="M15" s="243">
        <v>0</v>
      </c>
      <c r="N15" s="243">
        <v>0</v>
      </c>
      <c r="O15" s="244">
        <v>0</v>
      </c>
      <c r="P15" s="245">
        <v>0</v>
      </c>
      <c r="R15" s="53"/>
    </row>
    <row r="19" spans="3:3" x14ac:dyDescent="0.25">
      <c r="C19" s="14"/>
    </row>
  </sheetData>
  <sheetProtection algorithmName="SHA-512" hashValue="7JCsUczvHb7EXmxnRwoXRUMHEj3BuE1uqVGFCG1K34QTo3c7V+bOtp8eB1JH7VA1Fxgt53D2LUSrmD8loa/uTg==" saltValue="jKakK5vXJXJ/Gcji3YNbHw==" spinCount="100000" sheet="1" objects="1" scenarios="1"/>
  <mergeCells count="7">
    <mergeCell ref="P3:P4"/>
    <mergeCell ref="A3:A4"/>
    <mergeCell ref="B3:E3"/>
    <mergeCell ref="F3:F4"/>
    <mergeCell ref="G3:J3"/>
    <mergeCell ref="K3:K4"/>
    <mergeCell ref="L3:O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F14"/>
  <sheetViews>
    <sheetView zoomScale="75" zoomScaleNormal="75" workbookViewId="0">
      <selection activeCell="E21" sqref="E21"/>
    </sheetView>
  </sheetViews>
  <sheetFormatPr defaultRowHeight="15" x14ac:dyDescent="0.25"/>
  <cols>
    <col min="1" max="1" width="48.85546875" customWidth="1"/>
    <col min="2" max="4" width="14.7109375" customWidth="1"/>
    <col min="5" max="5" width="50.7109375" customWidth="1"/>
    <col min="6" max="6" width="17.28515625" customWidth="1"/>
  </cols>
  <sheetData>
    <row r="1" spans="1:6" x14ac:dyDescent="0.25">
      <c r="A1" s="498"/>
      <c r="B1" s="498"/>
      <c r="C1" s="498"/>
      <c r="D1" s="498"/>
      <c r="E1" s="498"/>
    </row>
    <row r="2" spans="1:6" ht="20.25" x14ac:dyDescent="0.3">
      <c r="A2" s="564" t="s">
        <v>165</v>
      </c>
      <c r="B2" s="564"/>
      <c r="C2" s="564"/>
      <c r="D2" s="564"/>
      <c r="E2" s="564"/>
    </row>
    <row r="3" spans="1:6" ht="15.75" thickBot="1" x14ac:dyDescent="0.3">
      <c r="A3" s="499"/>
      <c r="B3" s="499"/>
      <c r="C3" s="499"/>
      <c r="D3" s="499"/>
      <c r="E3" s="499"/>
    </row>
    <row r="4" spans="1:6" ht="37.9" customHeight="1" thickBot="1" x14ac:dyDescent="0.3">
      <c r="A4" s="500" t="s">
        <v>166</v>
      </c>
      <c r="B4" s="500" t="str">
        <f>(YEAR(Date)-1)&amp;" год"</f>
        <v>2020 год</v>
      </c>
      <c r="C4" s="500" t="str">
        <f>(LEFT(B4,4)+1)&amp;" год"</f>
        <v>2021 год</v>
      </c>
      <c r="D4" s="500" t="s">
        <v>167</v>
      </c>
      <c r="E4" s="501" t="s">
        <v>168</v>
      </c>
      <c r="F4" s="502"/>
    </row>
    <row r="5" spans="1:6" ht="19.5" thickBot="1" x14ac:dyDescent="0.35">
      <c r="A5" s="515" t="s">
        <v>38</v>
      </c>
      <c r="B5" s="516">
        <f>SUM(B6:B8)</f>
        <v>74.199999999999989</v>
      </c>
      <c r="C5" s="516">
        <f>SUM(C6:C8)</f>
        <v>74.503</v>
      </c>
      <c r="D5" s="516">
        <f>IFERROR(C5/B5*100-100,"")</f>
        <v>0.40835579514826748</v>
      </c>
      <c r="E5" s="517"/>
      <c r="F5" s="503" t="str">
        <f t="shared" ref="F5:F14" si="0">IF(OR($D5&gt;10,$D5&lt;-10),IF($D5="","",IF($E5="","Внесите комментарий!","")),"")</f>
        <v/>
      </c>
    </row>
    <row r="6" spans="1:6" ht="18.75" x14ac:dyDescent="0.3">
      <c r="A6" s="512" t="s">
        <v>39</v>
      </c>
      <c r="B6" s="513">
        <f>'1. Статистика'!M25</f>
        <v>3.2</v>
      </c>
      <c r="C6" s="513">
        <f>'3.Прогноз.С корректировкой таб9'!G9</f>
        <v>3</v>
      </c>
      <c r="D6" s="513">
        <f>IFERROR(C6/B6*100-100,"")</f>
        <v>-6.25</v>
      </c>
      <c r="E6" s="514"/>
      <c r="F6" s="503" t="str">
        <f t="shared" si="0"/>
        <v/>
      </c>
    </row>
    <row r="7" spans="1:6" ht="18.75" x14ac:dyDescent="0.3">
      <c r="A7" s="511" t="s">
        <v>138</v>
      </c>
      <c r="B7" s="506">
        <f>'1. Статистика'!M26</f>
        <v>17.3</v>
      </c>
      <c r="C7" s="506">
        <f>'3.Прогноз.С корректировкой таб9'!G10</f>
        <v>17.251999999999999</v>
      </c>
      <c r="D7" s="506">
        <f t="shared" ref="D7:D14" si="1">IFERROR(C7/B7*100-100,"")</f>
        <v>-0.27745664739885001</v>
      </c>
      <c r="E7" s="507"/>
      <c r="F7" s="503" t="str">
        <f t="shared" si="0"/>
        <v/>
      </c>
    </row>
    <row r="8" spans="1:6" ht="18.75" x14ac:dyDescent="0.3">
      <c r="A8" s="511" t="s">
        <v>40</v>
      </c>
      <c r="B8" s="506">
        <f>'1. Статистика'!M27</f>
        <v>53.699999999999996</v>
      </c>
      <c r="C8" s="506">
        <f>'3.Прогноз.С корректировкой таб9'!G17</f>
        <v>54.250999999999998</v>
      </c>
      <c r="D8" s="506">
        <f t="shared" si="1"/>
        <v>1.0260707635009396</v>
      </c>
      <c r="E8" s="507"/>
      <c r="F8" s="503" t="str">
        <f t="shared" si="0"/>
        <v/>
      </c>
    </row>
    <row r="9" spans="1:6" ht="18.75" x14ac:dyDescent="0.3">
      <c r="A9" s="504" t="s">
        <v>43</v>
      </c>
      <c r="B9" s="505">
        <f>SUM(B10:B13)</f>
        <v>71.2</v>
      </c>
      <c r="C9" s="505">
        <f>SUM(C10:C13)</f>
        <v>71.500999999999991</v>
      </c>
      <c r="D9" s="505">
        <f t="shared" si="1"/>
        <v>0.42275280898876133</v>
      </c>
      <c r="E9" s="518"/>
      <c r="F9" s="503" t="str">
        <f t="shared" si="0"/>
        <v/>
      </c>
    </row>
    <row r="10" spans="1:6" ht="18.75" x14ac:dyDescent="0.3">
      <c r="A10" s="511" t="s">
        <v>169</v>
      </c>
      <c r="B10" s="506">
        <f>'1. Статистика'!M29</f>
        <v>0.30000000000000004</v>
      </c>
      <c r="C10" s="506">
        <f>'3.Прогноз.С корректировкой таб9'!G21</f>
        <v>0.3</v>
      </c>
      <c r="D10" s="506">
        <f t="shared" si="1"/>
        <v>-2.8421709430404007E-14</v>
      </c>
      <c r="E10" s="507"/>
      <c r="F10" s="503" t="str">
        <f t="shared" si="0"/>
        <v/>
      </c>
    </row>
    <row r="11" spans="1:6" ht="18.75" x14ac:dyDescent="0.3">
      <c r="A11" s="511" t="s">
        <v>107</v>
      </c>
      <c r="B11" s="506">
        <f>'1. Статистика'!M32</f>
        <v>68.5</v>
      </c>
      <c r="C11" s="506">
        <f>'3.Прогноз.С корректировкой таб9'!G26</f>
        <v>68.622</v>
      </c>
      <c r="D11" s="506">
        <f t="shared" si="1"/>
        <v>0.1781021897810291</v>
      </c>
      <c r="E11" s="507"/>
      <c r="F11" s="503" t="str">
        <f t="shared" si="0"/>
        <v/>
      </c>
    </row>
    <row r="12" spans="1:6" ht="18.75" x14ac:dyDescent="0.3">
      <c r="A12" s="511" t="s">
        <v>92</v>
      </c>
      <c r="B12" s="506">
        <f>'1. Статистика'!M30</f>
        <v>0.2</v>
      </c>
      <c r="C12" s="506">
        <f>'3.Прогноз.С корректировкой таб9'!G29</f>
        <v>0.22900000000000001</v>
      </c>
      <c r="D12" s="506">
        <f t="shared" si="1"/>
        <v>14.5</v>
      </c>
      <c r="E12" s="507" t="s">
        <v>171</v>
      </c>
      <c r="F12" s="503" t="str">
        <f t="shared" si="0"/>
        <v/>
      </c>
    </row>
    <row r="13" spans="1:6" ht="18.75" x14ac:dyDescent="0.3">
      <c r="A13" s="511" t="s">
        <v>93</v>
      </c>
      <c r="B13" s="506">
        <f>'1. Статистика'!M31</f>
        <v>2.2000000000000002</v>
      </c>
      <c r="C13" s="506">
        <f>'3.Прогноз.С корректировкой таб9'!G31</f>
        <v>2.35</v>
      </c>
      <c r="D13" s="506">
        <f t="shared" si="1"/>
        <v>6.818181818181813</v>
      </c>
      <c r="E13" s="507"/>
      <c r="F13" s="503" t="str">
        <f t="shared" si="0"/>
        <v/>
      </c>
    </row>
    <row r="14" spans="1:6" ht="19.5" thickBot="1" x14ac:dyDescent="0.35">
      <c r="A14" s="508" t="s">
        <v>50</v>
      </c>
      <c r="B14" s="509">
        <f>'1. Статистика'!M33</f>
        <v>3</v>
      </c>
      <c r="C14" s="509">
        <f>'3.Прогноз.С корректировкой таб9'!G35</f>
        <v>3.0019999999999998</v>
      </c>
      <c r="D14" s="509">
        <f t="shared" si="1"/>
        <v>6.6666666666662877E-2</v>
      </c>
      <c r="E14" s="510"/>
      <c r="F14" s="503" t="str">
        <f t="shared" si="0"/>
        <v/>
      </c>
    </row>
  </sheetData>
  <mergeCells count="1">
    <mergeCell ref="A2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203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1. Статистика</vt:lpstr>
      <vt:lpstr>2. Прогноз. Без корректировки</vt:lpstr>
      <vt:lpstr>3.Прогноз.С корректировкой таб9</vt:lpstr>
      <vt:lpstr>4.Комментарий</vt:lpstr>
      <vt:lpstr>Date</vt:lpstr>
      <vt:lpstr>DocN</vt:lpstr>
      <vt:lpstr>Test_date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Aleksandr Degtyarev</dc:creator>
  <cp:lastModifiedBy>Ерещенкова Альбина Александровна</cp:lastModifiedBy>
  <cp:revision>11</cp:revision>
  <cp:lastPrinted>2017-12-20T07:42:08Z</cp:lastPrinted>
  <dcterms:created xsi:type="dcterms:W3CDTF">2006-09-16T00:00:00Z</dcterms:created>
  <dcterms:modified xsi:type="dcterms:W3CDTF">2022-05-26T09:05:05Z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