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OlHMLEgyxjFqyYkq8z6qDnaG0wq55qPST2NVxlmakvMph0YuTI79rR0aoI8rzNzGmn7W1XqHgpfsUM+kkIp/fQ==" workbookSaltValue="bCz+USDDpo6JmHKKwWts7Q==" workbookSpinCount="100000" lockStructure="1"/>
  <bookViews>
    <workbookView xWindow="30" yWindow="630" windowWidth="17400" windowHeight="13080" tabRatio="753"/>
  </bookViews>
  <sheets>
    <sheet name="1.Статистика" sheetId="6" r:id="rId1"/>
    <sheet name="2. Прогноз. Без корректировки" sheetId="7" r:id="rId2"/>
    <sheet name="3.Прогноз.С корректировкой Таб7" sheetId="13" r:id="rId3"/>
    <sheet name="Баланс" sheetId="12" state="veryHidden" r:id="rId4"/>
    <sheet name="4. Комментарии" sheetId="14" r:id="rId5"/>
  </sheets>
  <definedNames>
    <definedName name="Date">Баланс!$R$1</definedName>
    <definedName name="DocN">Баланс!$Q$1</definedName>
    <definedName name="Test_date">Баланс!$R$2</definedName>
    <definedName name="_xlnm.Print_Area" localSheetId="0">'1.Статистика'!$A$1:$AK$187</definedName>
    <definedName name="_xlnm.Print_Area" localSheetId="1">'2. Прогноз. Без корректировки'!$A$1:$Q$114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62" i="12" l="1"/>
  <c r="R63" i="12" s="1"/>
  <c r="R64" i="12" s="1"/>
  <c r="R52" i="12"/>
  <c r="R53" i="12" s="1"/>
  <c r="R47" i="12"/>
  <c r="R48" i="12" s="1"/>
  <c r="R42" i="12"/>
  <c r="R43" i="12" s="1"/>
  <c r="R44" i="12" s="1"/>
  <c r="R38" i="12"/>
  <c r="R39" i="12" s="1"/>
  <c r="R32" i="12"/>
  <c r="R33" i="12" s="1"/>
  <c r="R17" i="12"/>
  <c r="R18" i="12" s="1"/>
  <c r="R19" i="12" s="1"/>
  <c r="S14" i="12"/>
  <c r="R12" i="12"/>
  <c r="R7" i="12"/>
  <c r="R2" i="12"/>
  <c r="B4" i="14" s="1"/>
  <c r="C4" i="14" s="1"/>
  <c r="E248" i="13"/>
  <c r="F94" i="13"/>
  <c r="E94" i="13"/>
  <c r="D94" i="13"/>
  <c r="C94" i="13"/>
  <c r="F91" i="13"/>
  <c r="E91" i="13"/>
  <c r="D91" i="13"/>
  <c r="C91" i="13"/>
  <c r="F88" i="13"/>
  <c r="E88" i="13"/>
  <c r="D88" i="13"/>
  <c r="C88" i="13"/>
  <c r="P78" i="13"/>
  <c r="O78" i="13"/>
  <c r="N78" i="13"/>
  <c r="M78" i="13"/>
  <c r="K78" i="13"/>
  <c r="J78" i="13"/>
  <c r="I78" i="13"/>
  <c r="H78" i="13"/>
  <c r="F78" i="13"/>
  <c r="E78" i="13"/>
  <c r="D78" i="13"/>
  <c r="C78" i="13"/>
  <c r="P77" i="13"/>
  <c r="O77" i="13"/>
  <c r="N77" i="13"/>
  <c r="M77" i="13"/>
  <c r="K77" i="13"/>
  <c r="J77" i="13"/>
  <c r="I77" i="13"/>
  <c r="H77" i="13"/>
  <c r="F77" i="13"/>
  <c r="E77" i="13"/>
  <c r="D77" i="13"/>
  <c r="C77" i="13"/>
  <c r="P76" i="13"/>
  <c r="O76" i="13"/>
  <c r="N76" i="13"/>
  <c r="M76" i="13"/>
  <c r="K76" i="13"/>
  <c r="J76" i="13"/>
  <c r="I76" i="13"/>
  <c r="H76" i="13"/>
  <c r="F76" i="13"/>
  <c r="E76" i="13"/>
  <c r="D76" i="13"/>
  <c r="C76" i="13"/>
  <c r="F75" i="13"/>
  <c r="E75" i="13"/>
  <c r="E74" i="13" s="1"/>
  <c r="J75" i="13" s="1"/>
  <c r="J74" i="13" s="1"/>
  <c r="O75" i="13" s="1"/>
  <c r="O74" i="13" s="1"/>
  <c r="D75" i="13"/>
  <c r="D74" i="13" s="1"/>
  <c r="I75" i="13" s="1"/>
  <c r="I74" i="13" s="1"/>
  <c r="N75" i="13" s="1"/>
  <c r="N74" i="13" s="1"/>
  <c r="C75" i="13"/>
  <c r="F74" i="13"/>
  <c r="K75" i="13" s="1"/>
  <c r="K74" i="13" s="1"/>
  <c r="P75" i="13" s="1"/>
  <c r="P74" i="13" s="1"/>
  <c r="P73" i="13"/>
  <c r="O73" i="13"/>
  <c r="N73" i="13"/>
  <c r="M73" i="13"/>
  <c r="K73" i="13"/>
  <c r="J73" i="13"/>
  <c r="I73" i="13"/>
  <c r="H73" i="13"/>
  <c r="F73" i="13"/>
  <c r="E73" i="13"/>
  <c r="D73" i="13"/>
  <c r="C73" i="13"/>
  <c r="P72" i="13"/>
  <c r="O72" i="13"/>
  <c r="N72" i="13"/>
  <c r="M72" i="13"/>
  <c r="K72" i="13"/>
  <c r="J72" i="13"/>
  <c r="I72" i="13"/>
  <c r="H72" i="13"/>
  <c r="F72" i="13"/>
  <c r="E72" i="13"/>
  <c r="D72" i="13"/>
  <c r="C72" i="13"/>
  <c r="P71" i="13"/>
  <c r="O71" i="13"/>
  <c r="N71" i="13"/>
  <c r="M71" i="13"/>
  <c r="K71" i="13"/>
  <c r="J71" i="13"/>
  <c r="I71" i="13"/>
  <c r="H71" i="13"/>
  <c r="F71" i="13"/>
  <c r="E71" i="13"/>
  <c r="D71" i="13"/>
  <c r="C71" i="13"/>
  <c r="F70" i="13"/>
  <c r="F69" i="13" s="1"/>
  <c r="K70" i="13" s="1"/>
  <c r="K69" i="13" s="1"/>
  <c r="P70" i="13" s="1"/>
  <c r="E70" i="13"/>
  <c r="D70" i="13"/>
  <c r="D69" i="13" s="1"/>
  <c r="I70" i="13" s="1"/>
  <c r="I69" i="13" s="1"/>
  <c r="N70" i="13" s="1"/>
  <c r="N69" i="13" s="1"/>
  <c r="C70" i="13"/>
  <c r="C69" i="13" s="1"/>
  <c r="H70" i="13" s="1"/>
  <c r="P68" i="13"/>
  <c r="O68" i="13"/>
  <c r="N68" i="13"/>
  <c r="M68" i="13"/>
  <c r="K68" i="13"/>
  <c r="J68" i="13"/>
  <c r="I68" i="13"/>
  <c r="H68" i="13"/>
  <c r="F68" i="13"/>
  <c r="E68" i="13"/>
  <c r="D68" i="13"/>
  <c r="C68" i="13"/>
  <c r="P67" i="13"/>
  <c r="O67" i="13"/>
  <c r="N67" i="13"/>
  <c r="M67" i="13"/>
  <c r="K67" i="13"/>
  <c r="J67" i="13"/>
  <c r="I67" i="13"/>
  <c r="H67" i="13"/>
  <c r="F67" i="13"/>
  <c r="E67" i="13"/>
  <c r="D67" i="13"/>
  <c r="C67" i="13"/>
  <c r="P66" i="13"/>
  <c r="O66" i="13"/>
  <c r="N66" i="13"/>
  <c r="M66" i="13"/>
  <c r="K66" i="13"/>
  <c r="J66" i="13"/>
  <c r="I66" i="13"/>
  <c r="H66" i="13"/>
  <c r="F66" i="13"/>
  <c r="E66" i="13"/>
  <c r="D66" i="13"/>
  <c r="C66" i="13"/>
  <c r="F65" i="13"/>
  <c r="E65" i="13"/>
  <c r="E64" i="13" s="1"/>
  <c r="D65" i="13"/>
  <c r="D64" i="13" s="1"/>
  <c r="I65" i="13" s="1"/>
  <c r="I64" i="13" s="1"/>
  <c r="C65" i="13"/>
  <c r="F64" i="13"/>
  <c r="K65" i="13" s="1"/>
  <c r="K64" i="13" s="1"/>
  <c r="P62" i="13"/>
  <c r="O62" i="13"/>
  <c r="N62" i="13"/>
  <c r="M62" i="13"/>
  <c r="K62" i="13"/>
  <c r="J62" i="13"/>
  <c r="I62" i="13"/>
  <c r="H62" i="13"/>
  <c r="F62" i="13"/>
  <c r="E62" i="13"/>
  <c r="D62" i="13"/>
  <c r="C62" i="13"/>
  <c r="P61" i="13"/>
  <c r="O61" i="13"/>
  <c r="N61" i="13"/>
  <c r="M61" i="13"/>
  <c r="K61" i="13"/>
  <c r="J61" i="13"/>
  <c r="I61" i="13"/>
  <c r="H61" i="13"/>
  <c r="F61" i="13"/>
  <c r="E61" i="13"/>
  <c r="D61" i="13"/>
  <c r="C61" i="13"/>
  <c r="P60" i="13"/>
  <c r="O60" i="13"/>
  <c r="N60" i="13"/>
  <c r="M60" i="13"/>
  <c r="K60" i="13"/>
  <c r="J60" i="13"/>
  <c r="I60" i="13"/>
  <c r="H60" i="13"/>
  <c r="F60" i="13"/>
  <c r="E60" i="13"/>
  <c r="D60" i="13"/>
  <c r="C60" i="13"/>
  <c r="F59" i="13"/>
  <c r="E59" i="13"/>
  <c r="E58" i="13" s="1"/>
  <c r="J59" i="13" s="1"/>
  <c r="J58" i="13" s="1"/>
  <c r="O59" i="13" s="1"/>
  <c r="O58" i="13" s="1"/>
  <c r="D59" i="13"/>
  <c r="D58" i="13" s="1"/>
  <c r="C59" i="13"/>
  <c r="F58" i="13"/>
  <c r="K59" i="13" s="1"/>
  <c r="K58" i="13" s="1"/>
  <c r="P59" i="13" s="1"/>
  <c r="P58" i="13" s="1"/>
  <c r="P57" i="13"/>
  <c r="O57" i="13"/>
  <c r="N57" i="13"/>
  <c r="M57" i="13"/>
  <c r="K57" i="13"/>
  <c r="J57" i="13"/>
  <c r="I57" i="13"/>
  <c r="H57" i="13"/>
  <c r="F57" i="13"/>
  <c r="E57" i="13"/>
  <c r="D57" i="13"/>
  <c r="C57" i="13"/>
  <c r="P56" i="13"/>
  <c r="O56" i="13"/>
  <c r="N56" i="13"/>
  <c r="M56" i="13"/>
  <c r="K56" i="13"/>
  <c r="J56" i="13"/>
  <c r="I56" i="13"/>
  <c r="H56" i="13"/>
  <c r="F56" i="13"/>
  <c r="E56" i="13"/>
  <c r="D56" i="13"/>
  <c r="C56" i="13"/>
  <c r="P55" i="13"/>
  <c r="O55" i="13"/>
  <c r="N55" i="13"/>
  <c r="M55" i="13"/>
  <c r="K55" i="13"/>
  <c r="J55" i="13"/>
  <c r="I55" i="13"/>
  <c r="H55" i="13"/>
  <c r="F55" i="13"/>
  <c r="E55" i="13"/>
  <c r="D55" i="13"/>
  <c r="C55" i="13"/>
  <c r="F54" i="13"/>
  <c r="F53" i="13" s="1"/>
  <c r="K54" i="13" s="1"/>
  <c r="K53" i="13" s="1"/>
  <c r="E54" i="13"/>
  <c r="D54" i="13"/>
  <c r="D53" i="13" s="1"/>
  <c r="I54" i="13" s="1"/>
  <c r="I53" i="13" s="1"/>
  <c r="C54" i="13"/>
  <c r="E53" i="13"/>
  <c r="P52" i="13"/>
  <c r="O52" i="13"/>
  <c r="N52" i="13"/>
  <c r="M52" i="13"/>
  <c r="K52" i="13"/>
  <c r="J52" i="13"/>
  <c r="I52" i="13"/>
  <c r="H52" i="13"/>
  <c r="F52" i="13"/>
  <c r="E52" i="13"/>
  <c r="D52" i="13"/>
  <c r="C52" i="13"/>
  <c r="P51" i="13"/>
  <c r="O51" i="13"/>
  <c r="N51" i="13"/>
  <c r="M51" i="13"/>
  <c r="K51" i="13"/>
  <c r="J51" i="13"/>
  <c r="I51" i="13"/>
  <c r="H51" i="13"/>
  <c r="F51" i="13"/>
  <c r="E51" i="13"/>
  <c r="D51" i="13"/>
  <c r="C51" i="13"/>
  <c r="P50" i="13"/>
  <c r="O50" i="13"/>
  <c r="N50" i="13"/>
  <c r="M50" i="13"/>
  <c r="K50" i="13"/>
  <c r="J50" i="13"/>
  <c r="I50" i="13"/>
  <c r="H50" i="13"/>
  <c r="F50" i="13"/>
  <c r="E50" i="13"/>
  <c r="D50" i="13"/>
  <c r="C50" i="13"/>
  <c r="F49" i="13"/>
  <c r="E49" i="13"/>
  <c r="D49" i="13"/>
  <c r="D48" i="13" s="1"/>
  <c r="C49" i="13"/>
  <c r="O46" i="13"/>
  <c r="F37" i="13"/>
  <c r="E37" i="13"/>
  <c r="D37" i="13"/>
  <c r="C37" i="13"/>
  <c r="F34" i="13"/>
  <c r="E34" i="13"/>
  <c r="D34" i="13"/>
  <c r="C34" i="13"/>
  <c r="F31" i="13"/>
  <c r="E31" i="13"/>
  <c r="D31" i="13"/>
  <c r="C31" i="13"/>
  <c r="P28" i="13"/>
  <c r="O28" i="13"/>
  <c r="N28" i="13"/>
  <c r="M28" i="13"/>
  <c r="K28" i="13"/>
  <c r="J28" i="13"/>
  <c r="I28" i="13"/>
  <c r="H28" i="13"/>
  <c r="F28" i="13"/>
  <c r="E28" i="13"/>
  <c r="D28" i="13"/>
  <c r="C28" i="13"/>
  <c r="P27" i="13"/>
  <c r="O27" i="13"/>
  <c r="N27" i="13"/>
  <c r="M27" i="13"/>
  <c r="K27" i="13"/>
  <c r="J27" i="13"/>
  <c r="I27" i="13"/>
  <c r="H27" i="13"/>
  <c r="F27" i="13"/>
  <c r="E27" i="13"/>
  <c r="D27" i="13"/>
  <c r="C27" i="13"/>
  <c r="P26" i="13"/>
  <c r="O26" i="13"/>
  <c r="N26" i="13"/>
  <c r="M26" i="13"/>
  <c r="K26" i="13"/>
  <c r="J26" i="13"/>
  <c r="I26" i="13"/>
  <c r="H26" i="13"/>
  <c r="F26" i="13"/>
  <c r="E26" i="13"/>
  <c r="D26" i="13"/>
  <c r="C26" i="13"/>
  <c r="F25" i="13"/>
  <c r="F24" i="13" s="1"/>
  <c r="K25" i="13" s="1"/>
  <c r="K24" i="13" s="1"/>
  <c r="P25" i="13" s="1"/>
  <c r="P24" i="13" s="1"/>
  <c r="E25" i="13"/>
  <c r="D25" i="13"/>
  <c r="D24" i="13" s="1"/>
  <c r="I25" i="13" s="1"/>
  <c r="I24" i="13" s="1"/>
  <c r="N25" i="13" s="1"/>
  <c r="N24" i="13" s="1"/>
  <c r="C25" i="13"/>
  <c r="C24" i="13" s="1"/>
  <c r="H25" i="13" s="1"/>
  <c r="P23" i="13"/>
  <c r="O23" i="13"/>
  <c r="N23" i="13"/>
  <c r="M23" i="13"/>
  <c r="K23" i="13"/>
  <c r="J23" i="13"/>
  <c r="I23" i="13"/>
  <c r="H23" i="13"/>
  <c r="F23" i="13"/>
  <c r="E23" i="13"/>
  <c r="D23" i="13"/>
  <c r="C23" i="13"/>
  <c r="P22" i="13"/>
  <c r="O22" i="13"/>
  <c r="N22" i="13"/>
  <c r="M22" i="13"/>
  <c r="K22" i="13"/>
  <c r="J22" i="13"/>
  <c r="I22" i="13"/>
  <c r="H22" i="13"/>
  <c r="F22" i="13"/>
  <c r="E22" i="13"/>
  <c r="D22" i="13"/>
  <c r="C22" i="13"/>
  <c r="P21" i="13"/>
  <c r="O21" i="13"/>
  <c r="N21" i="13"/>
  <c r="M21" i="13"/>
  <c r="K21" i="13"/>
  <c r="J21" i="13"/>
  <c r="I21" i="13"/>
  <c r="H21" i="13"/>
  <c r="F21" i="13"/>
  <c r="E21" i="13"/>
  <c r="D21" i="13"/>
  <c r="C21" i="13"/>
  <c r="F20" i="13"/>
  <c r="E20" i="13"/>
  <c r="E19" i="13" s="1"/>
  <c r="J20" i="13" s="1"/>
  <c r="J19" i="13" s="1"/>
  <c r="O20" i="13" s="1"/>
  <c r="O19" i="13" s="1"/>
  <c r="D20" i="13"/>
  <c r="C20" i="13"/>
  <c r="C19" i="13" s="1"/>
  <c r="H20" i="13" s="1"/>
  <c r="F19" i="13"/>
  <c r="K20" i="13" s="1"/>
  <c r="K19" i="13" s="1"/>
  <c r="P20" i="13" s="1"/>
  <c r="P19" i="13" s="1"/>
  <c r="P18" i="13"/>
  <c r="O18" i="13"/>
  <c r="N18" i="13"/>
  <c r="M18" i="13"/>
  <c r="K18" i="13"/>
  <c r="J18" i="13"/>
  <c r="I18" i="13"/>
  <c r="H18" i="13"/>
  <c r="F18" i="13"/>
  <c r="E18" i="13"/>
  <c r="D18" i="13"/>
  <c r="C18" i="13"/>
  <c r="P17" i="13"/>
  <c r="O17" i="13"/>
  <c r="N17" i="13"/>
  <c r="M17" i="13"/>
  <c r="K17" i="13"/>
  <c r="J17" i="13"/>
  <c r="I17" i="13"/>
  <c r="H17" i="13"/>
  <c r="F17" i="13"/>
  <c r="E17" i="13"/>
  <c r="D17" i="13"/>
  <c r="C17" i="13"/>
  <c r="P16" i="13"/>
  <c r="O16" i="13"/>
  <c r="N16" i="13"/>
  <c r="M16" i="13"/>
  <c r="K16" i="13"/>
  <c r="J16" i="13"/>
  <c r="I16" i="13"/>
  <c r="H16" i="13"/>
  <c r="F16" i="13"/>
  <c r="E16" i="13"/>
  <c r="D16" i="13"/>
  <c r="C16" i="13"/>
  <c r="F15" i="13"/>
  <c r="F14" i="13" s="1"/>
  <c r="E15" i="13"/>
  <c r="E14" i="13" s="1"/>
  <c r="D15" i="13"/>
  <c r="D14" i="13" s="1"/>
  <c r="C15" i="13"/>
  <c r="C7" i="13"/>
  <c r="H7" i="13" s="1"/>
  <c r="E253" i="7"/>
  <c r="Q105" i="7"/>
  <c r="Q105" i="13" s="1"/>
  <c r="L105" i="7"/>
  <c r="L105" i="13" s="1"/>
  <c r="G105" i="7"/>
  <c r="G105" i="13" s="1"/>
  <c r="Q102" i="7"/>
  <c r="Q102" i="13" s="1"/>
  <c r="L102" i="7"/>
  <c r="L102" i="13" s="1"/>
  <c r="G102" i="7"/>
  <c r="G102" i="13" s="1"/>
  <c r="Q99" i="7"/>
  <c r="Q99" i="13" s="1"/>
  <c r="L99" i="7"/>
  <c r="L99" i="13" s="1"/>
  <c r="G99" i="7"/>
  <c r="G99" i="13" s="1"/>
  <c r="Q95" i="7"/>
  <c r="L95" i="7"/>
  <c r="G95" i="7"/>
  <c r="F94" i="7"/>
  <c r="E94" i="7"/>
  <c r="E93" i="7" s="1"/>
  <c r="J94" i="7" s="1"/>
  <c r="J93" i="7" s="1"/>
  <c r="O94" i="7" s="1"/>
  <c r="O93" i="7" s="1"/>
  <c r="D94" i="7"/>
  <c r="D93" i="7" s="1"/>
  <c r="C94" i="7"/>
  <c r="C93" i="7" s="1"/>
  <c r="H94" i="7" s="1"/>
  <c r="F93" i="7"/>
  <c r="K94" i="7" s="1"/>
  <c r="K93" i="7" s="1"/>
  <c r="P94" i="7" s="1"/>
  <c r="P93" i="7" s="1"/>
  <c r="Q92" i="7"/>
  <c r="L92" i="7"/>
  <c r="G92" i="7"/>
  <c r="F91" i="7"/>
  <c r="F90" i="7" s="1"/>
  <c r="K91" i="7" s="1"/>
  <c r="K90" i="7" s="1"/>
  <c r="P91" i="7" s="1"/>
  <c r="P90" i="7" s="1"/>
  <c r="N134" i="6" s="1"/>
  <c r="E91" i="7"/>
  <c r="E90" i="7" s="1"/>
  <c r="D91" i="7"/>
  <c r="D90" i="7" s="1"/>
  <c r="I91" i="7" s="1"/>
  <c r="I90" i="7" s="1"/>
  <c r="N91" i="7" s="1"/>
  <c r="N90" i="7" s="1"/>
  <c r="L134" i="6" s="1"/>
  <c r="C91" i="7"/>
  <c r="C90" i="7" s="1"/>
  <c r="Q89" i="7"/>
  <c r="L89" i="7"/>
  <c r="G89" i="7"/>
  <c r="F88" i="7"/>
  <c r="E88" i="7"/>
  <c r="E87" i="7" s="1"/>
  <c r="D88" i="7"/>
  <c r="D87" i="7" s="1"/>
  <c r="C88" i="7"/>
  <c r="C87" i="7" s="1"/>
  <c r="C133" i="6" s="1"/>
  <c r="F87" i="7"/>
  <c r="F86" i="7" s="1"/>
  <c r="Q78" i="7"/>
  <c r="L78" i="7"/>
  <c r="G78" i="7"/>
  <c r="Q77" i="7"/>
  <c r="L77" i="7"/>
  <c r="G77" i="7"/>
  <c r="P76" i="7"/>
  <c r="O76" i="7"/>
  <c r="N76" i="7"/>
  <c r="M76" i="7"/>
  <c r="K76" i="7"/>
  <c r="J76" i="7"/>
  <c r="I76" i="7"/>
  <c r="H76" i="7"/>
  <c r="F76" i="7"/>
  <c r="E76" i="7"/>
  <c r="D76" i="7"/>
  <c r="C76" i="7"/>
  <c r="F75" i="7"/>
  <c r="F74" i="7" s="1"/>
  <c r="K75" i="7" s="1"/>
  <c r="K74" i="7" s="1"/>
  <c r="P75" i="7" s="1"/>
  <c r="P74" i="7" s="1"/>
  <c r="E75" i="7"/>
  <c r="D75" i="7"/>
  <c r="D74" i="7" s="1"/>
  <c r="I75" i="7" s="1"/>
  <c r="C75" i="7"/>
  <c r="I74" i="7"/>
  <c r="N75" i="7" s="1"/>
  <c r="N74" i="7" s="1"/>
  <c r="E74" i="7"/>
  <c r="J75" i="7" s="1"/>
  <c r="J74" i="7" s="1"/>
  <c r="O75" i="7" s="1"/>
  <c r="O74" i="7" s="1"/>
  <c r="Q73" i="7"/>
  <c r="L73" i="7"/>
  <c r="G73" i="7"/>
  <c r="Q72" i="7"/>
  <c r="L72" i="7"/>
  <c r="G72" i="7"/>
  <c r="P71" i="7"/>
  <c r="O71" i="7"/>
  <c r="N71" i="7"/>
  <c r="M71" i="7"/>
  <c r="K71" i="7"/>
  <c r="J71" i="7"/>
  <c r="I71" i="7"/>
  <c r="H71" i="7"/>
  <c r="F71" i="7"/>
  <c r="E71" i="7"/>
  <c r="D71" i="7"/>
  <c r="C71" i="7"/>
  <c r="F70" i="7"/>
  <c r="F69" i="7" s="1"/>
  <c r="K70" i="7" s="1"/>
  <c r="K69" i="7" s="1"/>
  <c r="P70" i="7" s="1"/>
  <c r="P69" i="7" s="1"/>
  <c r="E70" i="7"/>
  <c r="E69" i="7" s="1"/>
  <c r="J70" i="7" s="1"/>
  <c r="J69" i="7" s="1"/>
  <c r="O70" i="7" s="1"/>
  <c r="O69" i="7" s="1"/>
  <c r="D70" i="7"/>
  <c r="C70" i="7"/>
  <c r="C69" i="7" s="1"/>
  <c r="H70" i="7" s="1"/>
  <c r="D69" i="7"/>
  <c r="I70" i="7" s="1"/>
  <c r="I69" i="7" s="1"/>
  <c r="N70" i="7" s="1"/>
  <c r="N69" i="7" s="1"/>
  <c r="Q68" i="7"/>
  <c r="L68" i="7"/>
  <c r="G68" i="7"/>
  <c r="Q67" i="7"/>
  <c r="L67" i="7"/>
  <c r="G67" i="7"/>
  <c r="P66" i="7"/>
  <c r="O66" i="7"/>
  <c r="N66" i="7"/>
  <c r="M66" i="7"/>
  <c r="K66" i="7"/>
  <c r="J66" i="7"/>
  <c r="I66" i="7"/>
  <c r="H66" i="7"/>
  <c r="F66" i="7"/>
  <c r="E66" i="7"/>
  <c r="D66" i="7"/>
  <c r="C66" i="7"/>
  <c r="F65" i="7"/>
  <c r="F64" i="7" s="1"/>
  <c r="E65" i="7"/>
  <c r="E64" i="7" s="1"/>
  <c r="J65" i="7" s="1"/>
  <c r="J64" i="7" s="1"/>
  <c r="D65" i="7"/>
  <c r="D64" i="7" s="1"/>
  <c r="I65" i="7" s="1"/>
  <c r="I64" i="7" s="1"/>
  <c r="C65" i="7"/>
  <c r="C64" i="7"/>
  <c r="H65" i="7" s="1"/>
  <c r="H64" i="7" s="1"/>
  <c r="M65" i="7" s="1"/>
  <c r="Q62" i="7"/>
  <c r="L62" i="7"/>
  <c r="G62" i="7"/>
  <c r="Q61" i="7"/>
  <c r="L61" i="7"/>
  <c r="G61" i="7"/>
  <c r="P60" i="7"/>
  <c r="O60" i="7"/>
  <c r="N60" i="7"/>
  <c r="M60" i="7"/>
  <c r="K60" i="7"/>
  <c r="J60" i="7"/>
  <c r="I60" i="7"/>
  <c r="H60" i="7"/>
  <c r="F60" i="7"/>
  <c r="E60" i="7"/>
  <c r="D60" i="7"/>
  <c r="C60" i="7"/>
  <c r="F59" i="7"/>
  <c r="E59" i="7"/>
  <c r="E58" i="7" s="1"/>
  <c r="D59" i="7"/>
  <c r="D58" i="7" s="1"/>
  <c r="C59" i="7"/>
  <c r="C58" i="7" s="1"/>
  <c r="F58" i="7"/>
  <c r="K59" i="7" s="1"/>
  <c r="K58" i="7" s="1"/>
  <c r="Q57" i="7"/>
  <c r="L57" i="7"/>
  <c r="G57" i="7"/>
  <c r="Q56" i="7"/>
  <c r="L56" i="7"/>
  <c r="G56" i="7"/>
  <c r="P55" i="7"/>
  <c r="O55" i="7"/>
  <c r="N55" i="7"/>
  <c r="M55" i="7"/>
  <c r="K55" i="7"/>
  <c r="J55" i="7"/>
  <c r="I55" i="7"/>
  <c r="H55" i="7"/>
  <c r="F55" i="7"/>
  <c r="E55" i="7"/>
  <c r="D55" i="7"/>
  <c r="C55" i="7"/>
  <c r="F54" i="7"/>
  <c r="F53" i="7" s="1"/>
  <c r="E54" i="7"/>
  <c r="E53" i="7" s="1"/>
  <c r="D54" i="7"/>
  <c r="D53" i="7" s="1"/>
  <c r="C54" i="7"/>
  <c r="C53" i="7" s="1"/>
  <c r="Q52" i="7"/>
  <c r="L52" i="7"/>
  <c r="G52" i="7"/>
  <c r="Q51" i="7"/>
  <c r="L51" i="7"/>
  <c r="G51" i="7"/>
  <c r="P50" i="7"/>
  <c r="O50" i="7"/>
  <c r="N50" i="7"/>
  <c r="M50" i="7"/>
  <c r="K50" i="7"/>
  <c r="J50" i="7"/>
  <c r="I50" i="7"/>
  <c r="H50" i="7"/>
  <c r="F50" i="7"/>
  <c r="E50" i="7"/>
  <c r="D50" i="7"/>
  <c r="C50" i="7"/>
  <c r="F49" i="7"/>
  <c r="F48" i="7" s="1"/>
  <c r="E49" i="7"/>
  <c r="E48" i="7" s="1"/>
  <c r="D49" i="7"/>
  <c r="D48" i="7" s="1"/>
  <c r="C49" i="7"/>
  <c r="C48" i="7" s="1"/>
  <c r="Q38" i="7"/>
  <c r="L38" i="7"/>
  <c r="G38" i="7"/>
  <c r="F37" i="7"/>
  <c r="F36" i="7" s="1"/>
  <c r="K37" i="7" s="1"/>
  <c r="K36" i="7" s="1"/>
  <c r="E37" i="7"/>
  <c r="E36" i="7" s="1"/>
  <c r="J37" i="7" s="1"/>
  <c r="J36" i="7" s="1"/>
  <c r="O37" i="7" s="1"/>
  <c r="O36" i="7" s="1"/>
  <c r="M131" i="6" s="1"/>
  <c r="D37" i="7"/>
  <c r="D36" i="7" s="1"/>
  <c r="C37" i="7"/>
  <c r="C36" i="7" s="1"/>
  <c r="H37" i="7" s="1"/>
  <c r="Q35" i="7"/>
  <c r="L35" i="7"/>
  <c r="G35" i="7"/>
  <c r="F34" i="7"/>
  <c r="F33" i="7" s="1"/>
  <c r="E34" i="7"/>
  <c r="E33" i="7" s="1"/>
  <c r="D34" i="7"/>
  <c r="D33" i="7" s="1"/>
  <c r="C34" i="7"/>
  <c r="C33" i="7" s="1"/>
  <c r="H34" i="7" s="1"/>
  <c r="Q32" i="7"/>
  <c r="L32" i="7"/>
  <c r="G32" i="7"/>
  <c r="F31" i="7"/>
  <c r="E31" i="7"/>
  <c r="E30" i="7" s="1"/>
  <c r="E129" i="6" s="1"/>
  <c r="D31" i="7"/>
  <c r="D30" i="7" s="1"/>
  <c r="C31" i="7"/>
  <c r="C30" i="7" s="1"/>
  <c r="C129" i="6" s="1"/>
  <c r="F30" i="7"/>
  <c r="F129" i="6" s="1"/>
  <c r="Q28" i="7"/>
  <c r="L28" i="7"/>
  <c r="G28" i="7"/>
  <c r="Q27" i="7"/>
  <c r="L27" i="7"/>
  <c r="G27" i="7"/>
  <c r="P26" i="7"/>
  <c r="O26" i="7"/>
  <c r="N26" i="7"/>
  <c r="M26" i="7"/>
  <c r="K26" i="7"/>
  <c r="J26" i="7"/>
  <c r="I26" i="7"/>
  <c r="H26" i="7"/>
  <c r="F26" i="7"/>
  <c r="E26" i="7"/>
  <c r="D26" i="7"/>
  <c r="C26" i="7"/>
  <c r="F25" i="7"/>
  <c r="E25" i="7"/>
  <c r="E24" i="7" s="1"/>
  <c r="J25" i="7" s="1"/>
  <c r="J24" i="7" s="1"/>
  <c r="O25" i="7" s="1"/>
  <c r="O24" i="7" s="1"/>
  <c r="D25" i="7"/>
  <c r="D24" i="7" s="1"/>
  <c r="I25" i="7" s="1"/>
  <c r="I24" i="7" s="1"/>
  <c r="N25" i="7" s="1"/>
  <c r="N24" i="7" s="1"/>
  <c r="C25" i="7"/>
  <c r="C24" i="7" s="1"/>
  <c r="H25" i="7" s="1"/>
  <c r="F24" i="7"/>
  <c r="K25" i="7" s="1"/>
  <c r="K24" i="7" s="1"/>
  <c r="P25" i="7" s="1"/>
  <c r="P24" i="7" s="1"/>
  <c r="Q23" i="7"/>
  <c r="L23" i="7"/>
  <c r="G23" i="7"/>
  <c r="Q22" i="7"/>
  <c r="L22" i="7"/>
  <c r="G22" i="7"/>
  <c r="P21" i="7"/>
  <c r="O21" i="7"/>
  <c r="N21" i="7"/>
  <c r="M21" i="7"/>
  <c r="K21" i="7"/>
  <c r="J21" i="7"/>
  <c r="I21" i="7"/>
  <c r="H21" i="7"/>
  <c r="F21" i="7"/>
  <c r="E21" i="7"/>
  <c r="D21" i="7"/>
  <c r="C21" i="7"/>
  <c r="F20" i="7"/>
  <c r="F19" i="7" s="1"/>
  <c r="K20" i="7" s="1"/>
  <c r="K19" i="7" s="1"/>
  <c r="P20" i="7" s="1"/>
  <c r="P19" i="7" s="1"/>
  <c r="E20" i="7"/>
  <c r="E19" i="7" s="1"/>
  <c r="J20" i="7" s="1"/>
  <c r="J19" i="7" s="1"/>
  <c r="O20" i="7" s="1"/>
  <c r="O19" i="7" s="1"/>
  <c r="D20" i="7"/>
  <c r="D19" i="7" s="1"/>
  <c r="I20" i="7" s="1"/>
  <c r="I19" i="7" s="1"/>
  <c r="N20" i="7" s="1"/>
  <c r="N19" i="7" s="1"/>
  <c r="C20" i="7"/>
  <c r="C19" i="7" s="1"/>
  <c r="H20" i="7" s="1"/>
  <c r="Q18" i="7"/>
  <c r="L18" i="7"/>
  <c r="G18" i="7"/>
  <c r="Q17" i="7"/>
  <c r="L17" i="7"/>
  <c r="G17" i="7"/>
  <c r="P16" i="7"/>
  <c r="O16" i="7"/>
  <c r="N16" i="7"/>
  <c r="M16" i="7"/>
  <c r="Q16" i="7" s="1"/>
  <c r="K16" i="7"/>
  <c r="J16" i="7"/>
  <c r="I16" i="7"/>
  <c r="H16" i="7"/>
  <c r="L16" i="7" s="1"/>
  <c r="F16" i="7"/>
  <c r="E16" i="7"/>
  <c r="D16" i="7"/>
  <c r="C16" i="7"/>
  <c r="G16" i="7" s="1"/>
  <c r="F15" i="7"/>
  <c r="E15" i="7"/>
  <c r="E14" i="7" s="1"/>
  <c r="D15" i="7"/>
  <c r="D14" i="7" s="1"/>
  <c r="C15" i="7"/>
  <c r="C14" i="7" s="1"/>
  <c r="F14" i="7"/>
  <c r="C7" i="7"/>
  <c r="G7" i="7" s="1"/>
  <c r="N135" i="6"/>
  <c r="M135" i="6"/>
  <c r="J135" i="6"/>
  <c r="I135" i="6"/>
  <c r="F135" i="6"/>
  <c r="E135" i="6"/>
  <c r="D134" i="6"/>
  <c r="F133" i="6"/>
  <c r="E133" i="6"/>
  <c r="C125" i="6"/>
  <c r="G125" i="6" s="1"/>
  <c r="K125" i="6" s="1"/>
  <c r="C120" i="6"/>
  <c r="H120" i="6" s="1"/>
  <c r="C119" i="6"/>
  <c r="H119" i="6" s="1"/>
  <c r="C118" i="6"/>
  <c r="H118" i="6" s="1"/>
  <c r="C116" i="6"/>
  <c r="H116" i="6" s="1"/>
  <c r="C115" i="6"/>
  <c r="H115" i="6" s="1"/>
  <c r="C114" i="6"/>
  <c r="H114" i="6" s="1"/>
  <c r="C111" i="6"/>
  <c r="D111" i="6" s="1"/>
  <c r="C103" i="6"/>
  <c r="D103" i="6" s="1"/>
  <c r="E103" i="6" s="1"/>
  <c r="C98" i="6"/>
  <c r="D98" i="6" s="1"/>
  <c r="E98" i="6" s="1"/>
  <c r="F98" i="6" s="1"/>
  <c r="G98" i="6" s="1"/>
  <c r="H98" i="6" s="1"/>
  <c r="V92" i="6"/>
  <c r="U92" i="6"/>
  <c r="T92" i="6"/>
  <c r="S92" i="6"/>
  <c r="Q92" i="6"/>
  <c r="P92" i="6"/>
  <c r="O92" i="6"/>
  <c r="N92" i="6"/>
  <c r="L92" i="6"/>
  <c r="K92" i="6"/>
  <c r="J92" i="6"/>
  <c r="I92" i="6"/>
  <c r="G92" i="6"/>
  <c r="F92" i="6"/>
  <c r="E92" i="6"/>
  <c r="D92" i="6"/>
  <c r="AK90" i="6"/>
  <c r="AJ90" i="6"/>
  <c r="AI90" i="6"/>
  <c r="AH90" i="6"/>
  <c r="AG90" i="6"/>
  <c r="AF90" i="6"/>
  <c r="AE90" i="6"/>
  <c r="AE87" i="6" s="1"/>
  <c r="AD90" i="6"/>
  <c r="AC90" i="6"/>
  <c r="AB90" i="6"/>
  <c r="AA90" i="6"/>
  <c r="Z90" i="6"/>
  <c r="Y90" i="6"/>
  <c r="X90" i="6"/>
  <c r="W90" i="6"/>
  <c r="W87" i="6" s="1"/>
  <c r="R90" i="6"/>
  <c r="M90" i="6"/>
  <c r="H90" i="6"/>
  <c r="C90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R89" i="6"/>
  <c r="M89" i="6"/>
  <c r="H89" i="6"/>
  <c r="C89" i="6"/>
  <c r="AK88" i="6"/>
  <c r="AK87" i="6" s="1"/>
  <c r="AJ88" i="6"/>
  <c r="AI88" i="6"/>
  <c r="AH88" i="6"/>
  <c r="AG88" i="6"/>
  <c r="AG87" i="6" s="1"/>
  <c r="AF88" i="6"/>
  <c r="AE88" i="6"/>
  <c r="AD88" i="6"/>
  <c r="AC88" i="6"/>
  <c r="AC87" i="6" s="1"/>
  <c r="AB88" i="6"/>
  <c r="AA88" i="6"/>
  <c r="Z88" i="6"/>
  <c r="Y88" i="6"/>
  <c r="Y87" i="6" s="1"/>
  <c r="X88" i="6"/>
  <c r="W88" i="6"/>
  <c r="R88" i="6"/>
  <c r="M88" i="6"/>
  <c r="M87" i="6" s="1"/>
  <c r="H88" i="6"/>
  <c r="C88" i="6"/>
  <c r="V87" i="6"/>
  <c r="U87" i="6"/>
  <c r="T87" i="6"/>
  <c r="S87" i="6"/>
  <c r="Q87" i="6"/>
  <c r="P87" i="6"/>
  <c r="O87" i="6"/>
  <c r="N87" i="6"/>
  <c r="L87" i="6"/>
  <c r="K87" i="6"/>
  <c r="J87" i="6"/>
  <c r="I87" i="6"/>
  <c r="G87" i="6"/>
  <c r="F87" i="6"/>
  <c r="E87" i="6"/>
  <c r="D87" i="6"/>
  <c r="C85" i="6"/>
  <c r="D85" i="6" s="1"/>
  <c r="D80" i="6"/>
  <c r="M73" i="6"/>
  <c r="H73" i="6"/>
  <c r="C73" i="6"/>
  <c r="M72" i="6"/>
  <c r="H72" i="6"/>
  <c r="C72" i="6"/>
  <c r="M71" i="6"/>
  <c r="H71" i="6"/>
  <c r="C71" i="6"/>
  <c r="Q70" i="6"/>
  <c r="P70" i="6"/>
  <c r="O70" i="6"/>
  <c r="N70" i="6"/>
  <c r="L70" i="6"/>
  <c r="K70" i="6"/>
  <c r="J70" i="6"/>
  <c r="I70" i="6"/>
  <c r="G70" i="6"/>
  <c r="F70" i="6"/>
  <c r="E70" i="6"/>
  <c r="D70" i="6"/>
  <c r="M69" i="6"/>
  <c r="H69" i="6"/>
  <c r="C69" i="6"/>
  <c r="M68" i="6"/>
  <c r="H68" i="6"/>
  <c r="C68" i="6"/>
  <c r="M67" i="6"/>
  <c r="H67" i="6"/>
  <c r="C67" i="6"/>
  <c r="Q66" i="6"/>
  <c r="P66" i="6"/>
  <c r="O66" i="6"/>
  <c r="N66" i="6"/>
  <c r="L66" i="6"/>
  <c r="K66" i="6"/>
  <c r="J66" i="6"/>
  <c r="I66" i="6"/>
  <c r="G66" i="6"/>
  <c r="F66" i="6"/>
  <c r="E66" i="6"/>
  <c r="D66" i="6"/>
  <c r="M65" i="6"/>
  <c r="H65" i="6"/>
  <c r="C65" i="6"/>
  <c r="M64" i="6"/>
  <c r="H64" i="6"/>
  <c r="C64" i="6"/>
  <c r="M63" i="6"/>
  <c r="H63" i="6"/>
  <c r="C63" i="6"/>
  <c r="Q62" i="6"/>
  <c r="P62" i="6"/>
  <c r="O62" i="6"/>
  <c r="N62" i="6"/>
  <c r="L62" i="6"/>
  <c r="K62" i="6"/>
  <c r="J62" i="6"/>
  <c r="I62" i="6"/>
  <c r="G62" i="6"/>
  <c r="F62" i="6"/>
  <c r="E62" i="6"/>
  <c r="D62" i="6"/>
  <c r="M61" i="6"/>
  <c r="H61" i="6"/>
  <c r="C61" i="6"/>
  <c r="M60" i="6"/>
  <c r="H60" i="6"/>
  <c r="C60" i="6"/>
  <c r="M59" i="6"/>
  <c r="H59" i="6"/>
  <c r="H58" i="6" s="1"/>
  <c r="C59" i="6"/>
  <c r="Q58" i="6"/>
  <c r="P58" i="6"/>
  <c r="O58" i="6"/>
  <c r="N58" i="6"/>
  <c r="L58" i="6"/>
  <c r="K58" i="6"/>
  <c r="J58" i="6"/>
  <c r="I58" i="6"/>
  <c r="G58" i="6"/>
  <c r="F58" i="6"/>
  <c r="E58" i="6"/>
  <c r="D58" i="6"/>
  <c r="M57" i="6"/>
  <c r="H57" i="6"/>
  <c r="C57" i="6"/>
  <c r="M56" i="6"/>
  <c r="H56" i="6"/>
  <c r="C56" i="6"/>
  <c r="M55" i="6"/>
  <c r="H55" i="6"/>
  <c r="C55" i="6"/>
  <c r="Q54" i="6"/>
  <c r="P54" i="6"/>
  <c r="O54" i="6"/>
  <c r="N54" i="6"/>
  <c r="L54" i="6"/>
  <c r="K54" i="6"/>
  <c r="J54" i="6"/>
  <c r="I54" i="6"/>
  <c r="G54" i="6"/>
  <c r="F54" i="6"/>
  <c r="E54" i="6"/>
  <c r="D54" i="6"/>
  <c r="M53" i="6"/>
  <c r="H53" i="6"/>
  <c r="C53" i="6"/>
  <c r="M52" i="6"/>
  <c r="H52" i="6"/>
  <c r="C52" i="6"/>
  <c r="M51" i="6"/>
  <c r="H51" i="6"/>
  <c r="C51" i="6"/>
  <c r="C47" i="6" s="1"/>
  <c r="Q50" i="6"/>
  <c r="P50" i="6"/>
  <c r="O50" i="6"/>
  <c r="N50" i="6"/>
  <c r="L50" i="6"/>
  <c r="K50" i="6"/>
  <c r="J50" i="6"/>
  <c r="I50" i="6"/>
  <c r="G50" i="6"/>
  <c r="F50" i="6"/>
  <c r="E50" i="6"/>
  <c r="D50" i="6"/>
  <c r="Q49" i="6"/>
  <c r="P49" i="6"/>
  <c r="O49" i="6"/>
  <c r="N49" i="6"/>
  <c r="L49" i="6"/>
  <c r="L46" i="6" s="1"/>
  <c r="K49" i="6"/>
  <c r="J49" i="6"/>
  <c r="I49" i="6"/>
  <c r="G49" i="6"/>
  <c r="F49" i="6"/>
  <c r="E49" i="6"/>
  <c r="D49" i="6"/>
  <c r="C49" i="6"/>
  <c r="Q48" i="6"/>
  <c r="P48" i="6"/>
  <c r="O48" i="6"/>
  <c r="N48" i="6"/>
  <c r="L48" i="6"/>
  <c r="K48" i="6"/>
  <c r="J48" i="6"/>
  <c r="I48" i="6"/>
  <c r="G48" i="6"/>
  <c r="F48" i="6"/>
  <c r="E48" i="6"/>
  <c r="D48" i="6"/>
  <c r="Q47" i="6"/>
  <c r="P47" i="6"/>
  <c r="O47" i="6"/>
  <c r="N47" i="6"/>
  <c r="L47" i="6"/>
  <c r="K47" i="6"/>
  <c r="J47" i="6"/>
  <c r="I47" i="6"/>
  <c r="G47" i="6"/>
  <c r="F47" i="6"/>
  <c r="E47" i="6"/>
  <c r="D47" i="6"/>
  <c r="D45" i="6"/>
  <c r="D44" i="6"/>
  <c r="D43" i="6"/>
  <c r="D76" i="6" s="1"/>
  <c r="M41" i="6"/>
  <c r="H41" i="6"/>
  <c r="C41" i="6"/>
  <c r="M40" i="6"/>
  <c r="H40" i="6"/>
  <c r="C40" i="6"/>
  <c r="M39" i="6"/>
  <c r="H39" i="6"/>
  <c r="H38" i="6" s="1"/>
  <c r="C39" i="6"/>
  <c r="Q38" i="6"/>
  <c r="P38" i="6"/>
  <c r="O38" i="6"/>
  <c r="N38" i="6"/>
  <c r="L38" i="6"/>
  <c r="K38" i="6"/>
  <c r="J38" i="6"/>
  <c r="I38" i="6"/>
  <c r="G38" i="6"/>
  <c r="F38" i="6"/>
  <c r="E38" i="6"/>
  <c r="D38" i="6"/>
  <c r="M37" i="6"/>
  <c r="H37" i="6"/>
  <c r="C37" i="6"/>
  <c r="M36" i="6"/>
  <c r="H36" i="6"/>
  <c r="C36" i="6"/>
  <c r="M35" i="6"/>
  <c r="H35" i="6"/>
  <c r="C35" i="6"/>
  <c r="Q34" i="6"/>
  <c r="P34" i="6"/>
  <c r="O34" i="6"/>
  <c r="N34" i="6"/>
  <c r="L34" i="6"/>
  <c r="K34" i="6"/>
  <c r="J34" i="6"/>
  <c r="I34" i="6"/>
  <c r="G34" i="6"/>
  <c r="F34" i="6"/>
  <c r="E34" i="6"/>
  <c r="D34" i="6"/>
  <c r="Q33" i="6"/>
  <c r="Q45" i="6" s="1"/>
  <c r="Q78" i="6" s="1"/>
  <c r="P33" i="6"/>
  <c r="P45" i="6" s="1"/>
  <c r="P78" i="6" s="1"/>
  <c r="O33" i="6"/>
  <c r="O45" i="6" s="1"/>
  <c r="O78" i="6" s="1"/>
  <c r="N33" i="6"/>
  <c r="N45" i="6" s="1"/>
  <c r="M33" i="6"/>
  <c r="L33" i="6"/>
  <c r="L45" i="6" s="1"/>
  <c r="K33" i="6"/>
  <c r="K45" i="6" s="1"/>
  <c r="J33" i="6"/>
  <c r="J45" i="6" s="1"/>
  <c r="I33" i="6"/>
  <c r="H33" i="6" s="1"/>
  <c r="H45" i="6" s="1"/>
  <c r="G33" i="6"/>
  <c r="G45" i="6" s="1"/>
  <c r="F33" i="6"/>
  <c r="F45" i="6" s="1"/>
  <c r="E33" i="6"/>
  <c r="E45" i="6" s="1"/>
  <c r="E78" i="6" s="1"/>
  <c r="C33" i="6"/>
  <c r="Q32" i="6"/>
  <c r="Q44" i="6" s="1"/>
  <c r="P32" i="6"/>
  <c r="P44" i="6" s="1"/>
  <c r="P77" i="6" s="1"/>
  <c r="O32" i="6"/>
  <c r="O44" i="6" s="1"/>
  <c r="N32" i="6"/>
  <c r="N44" i="6" s="1"/>
  <c r="N77" i="6" s="1"/>
  <c r="L32" i="6"/>
  <c r="K32" i="6"/>
  <c r="K44" i="6" s="1"/>
  <c r="K77" i="6" s="1"/>
  <c r="J32" i="6"/>
  <c r="J44" i="6" s="1"/>
  <c r="I32" i="6"/>
  <c r="I44" i="6" s="1"/>
  <c r="G32" i="6"/>
  <c r="G44" i="6" s="1"/>
  <c r="G77" i="6" s="1"/>
  <c r="F32" i="6"/>
  <c r="F44" i="6" s="1"/>
  <c r="F77" i="6" s="1"/>
  <c r="E32" i="6"/>
  <c r="E44" i="6" s="1"/>
  <c r="C32" i="6"/>
  <c r="Q31" i="6"/>
  <c r="P31" i="6"/>
  <c r="P43" i="6" s="1"/>
  <c r="O31" i="6"/>
  <c r="N31" i="6"/>
  <c r="N43" i="6" s="1"/>
  <c r="L31" i="6"/>
  <c r="L43" i="6" s="1"/>
  <c r="K31" i="6"/>
  <c r="J31" i="6"/>
  <c r="J43" i="6" s="1"/>
  <c r="I31" i="6"/>
  <c r="G31" i="6"/>
  <c r="F31" i="6"/>
  <c r="F43" i="6" s="1"/>
  <c r="E31" i="6"/>
  <c r="C31" i="6"/>
  <c r="J30" i="6"/>
  <c r="D30" i="6"/>
  <c r="C28" i="6"/>
  <c r="D28" i="6" s="1"/>
  <c r="M24" i="6"/>
  <c r="H24" i="6"/>
  <c r="C24" i="6"/>
  <c r="M23" i="6"/>
  <c r="H23" i="6"/>
  <c r="C23" i="6"/>
  <c r="M22" i="6"/>
  <c r="H22" i="6"/>
  <c r="C22" i="6"/>
  <c r="C21" i="6" s="1"/>
  <c r="Q21" i="6"/>
  <c r="P21" i="6"/>
  <c r="O21" i="6"/>
  <c r="N21" i="6"/>
  <c r="L21" i="6"/>
  <c r="K21" i="6"/>
  <c r="J21" i="6"/>
  <c r="I21" i="6"/>
  <c r="G21" i="6"/>
  <c r="F21" i="6"/>
  <c r="E21" i="6"/>
  <c r="D21" i="6"/>
  <c r="M19" i="6"/>
  <c r="H19" i="6"/>
  <c r="C19" i="6"/>
  <c r="M18" i="6"/>
  <c r="M16" i="6" s="1"/>
  <c r="H18" i="6"/>
  <c r="C18" i="6"/>
  <c r="M17" i="6"/>
  <c r="H17" i="6"/>
  <c r="C17" i="6"/>
  <c r="C16" i="6" s="1"/>
  <c r="Q16" i="6"/>
  <c r="P16" i="6"/>
  <c r="O16" i="6"/>
  <c r="N16" i="6"/>
  <c r="L16" i="6"/>
  <c r="K16" i="6"/>
  <c r="J16" i="6"/>
  <c r="I16" i="6"/>
  <c r="G16" i="6"/>
  <c r="F16" i="6"/>
  <c r="E16" i="6"/>
  <c r="D16" i="6"/>
  <c r="M14" i="6"/>
  <c r="H14" i="6"/>
  <c r="C14" i="6"/>
  <c r="C11" i="6" s="1"/>
  <c r="M13" i="6"/>
  <c r="H13" i="6"/>
  <c r="C13" i="6"/>
  <c r="M12" i="6"/>
  <c r="M11" i="6" s="1"/>
  <c r="H12" i="6"/>
  <c r="C12" i="6"/>
  <c r="Q11" i="6"/>
  <c r="P11" i="6"/>
  <c r="O11" i="6"/>
  <c r="N11" i="6"/>
  <c r="L11" i="6"/>
  <c r="K11" i="6"/>
  <c r="J11" i="6"/>
  <c r="I11" i="6"/>
  <c r="G11" i="6"/>
  <c r="F11" i="6"/>
  <c r="E11" i="6"/>
  <c r="D11" i="6"/>
  <c r="C9" i="6"/>
  <c r="H9" i="6" s="1"/>
  <c r="M9" i="6" s="1"/>
  <c r="J13" i="12"/>
  <c r="J14" i="12"/>
  <c r="D13" i="12"/>
  <c r="C14" i="12"/>
  <c r="B13" i="12"/>
  <c r="H38" i="12"/>
  <c r="J37" i="12"/>
  <c r="C38" i="12"/>
  <c r="H37" i="12"/>
  <c r="M14" i="12"/>
  <c r="N13" i="12"/>
  <c r="C12" i="12"/>
  <c r="E13" i="12"/>
  <c r="E14" i="12"/>
  <c r="E38" i="12"/>
  <c r="O14" i="12"/>
  <c r="E12" i="12"/>
  <c r="I13" i="12"/>
  <c r="M38" i="12"/>
  <c r="H14" i="12"/>
  <c r="J38" i="12"/>
  <c r="C37" i="12"/>
  <c r="D37" i="12"/>
  <c r="D12" i="12"/>
  <c r="E37" i="12"/>
  <c r="B38" i="12"/>
  <c r="O13" i="12"/>
  <c r="B14" i="12"/>
  <c r="J77" i="6" l="1"/>
  <c r="O77" i="6"/>
  <c r="D78" i="6"/>
  <c r="H50" i="6"/>
  <c r="H62" i="6"/>
  <c r="H66" i="6"/>
  <c r="M47" i="6"/>
  <c r="M46" i="6" s="1"/>
  <c r="H54" i="6"/>
  <c r="M48" i="6"/>
  <c r="H91" i="7"/>
  <c r="C134" i="6"/>
  <c r="E30" i="6"/>
  <c r="E80" i="6"/>
  <c r="C44" i="6"/>
  <c r="M32" i="6"/>
  <c r="M44" i="6" s="1"/>
  <c r="M77" i="6" s="1"/>
  <c r="G78" i="6"/>
  <c r="L78" i="6"/>
  <c r="J46" i="6"/>
  <c r="F46" i="6"/>
  <c r="C105" i="6"/>
  <c r="P69" i="13"/>
  <c r="M21" i="6"/>
  <c r="N30" i="6"/>
  <c r="C34" i="6"/>
  <c r="M38" i="6"/>
  <c r="B8" i="14" s="1"/>
  <c r="D77" i="6"/>
  <c r="D46" i="6"/>
  <c r="H47" i="6"/>
  <c r="P46" i="6"/>
  <c r="N46" i="6"/>
  <c r="C48" i="6"/>
  <c r="C46" i="6" s="1"/>
  <c r="H49" i="6"/>
  <c r="C80" i="6"/>
  <c r="I80" i="6"/>
  <c r="M31" i="6"/>
  <c r="M80" i="6" s="1"/>
  <c r="Q80" i="6"/>
  <c r="L30" i="6"/>
  <c r="F78" i="6"/>
  <c r="K78" i="6"/>
  <c r="H34" i="6"/>
  <c r="H48" i="6"/>
  <c r="M49" i="6"/>
  <c r="H70" i="6"/>
  <c r="C87" i="6"/>
  <c r="AA87" i="6"/>
  <c r="AI87" i="6"/>
  <c r="C135" i="6"/>
  <c r="C132" i="6" s="1"/>
  <c r="H54" i="7"/>
  <c r="C45" i="7"/>
  <c r="L44" i="6"/>
  <c r="L77" i="6" s="1"/>
  <c r="H21" i="6"/>
  <c r="F30" i="6"/>
  <c r="K30" i="6"/>
  <c r="O30" i="6"/>
  <c r="C77" i="6"/>
  <c r="I77" i="6"/>
  <c r="Q77" i="6"/>
  <c r="E46" i="6"/>
  <c r="I46" i="6"/>
  <c r="Q46" i="6"/>
  <c r="C50" i="6"/>
  <c r="M54" i="6"/>
  <c r="B12" i="14" s="1"/>
  <c r="M62" i="6"/>
  <c r="B14" i="14" s="1"/>
  <c r="C104" i="6"/>
  <c r="M70" i="6"/>
  <c r="B16" i="14" s="1"/>
  <c r="H92" i="6"/>
  <c r="AB87" i="6"/>
  <c r="AF87" i="6"/>
  <c r="AJ87" i="6"/>
  <c r="M92" i="6"/>
  <c r="H134" i="6"/>
  <c r="F46" i="7"/>
  <c r="H16" i="6"/>
  <c r="C30" i="6"/>
  <c r="G30" i="6"/>
  <c r="P30" i="6"/>
  <c r="K80" i="6"/>
  <c r="O80" i="6"/>
  <c r="E77" i="6"/>
  <c r="H78" i="6"/>
  <c r="M45" i="6"/>
  <c r="M78" i="6" s="1"/>
  <c r="M34" i="6"/>
  <c r="B7" i="14" s="1"/>
  <c r="C45" i="6"/>
  <c r="C78" i="6" s="1"/>
  <c r="C38" i="6"/>
  <c r="C130" i="6"/>
  <c r="C128" i="6" s="1"/>
  <c r="P46" i="13"/>
  <c r="H11" i="6"/>
  <c r="I30" i="6"/>
  <c r="M30" i="6"/>
  <c r="B6" i="14" s="1"/>
  <c r="Q30" i="6"/>
  <c r="G80" i="6"/>
  <c r="J78" i="6"/>
  <c r="N78" i="6"/>
  <c r="D42" i="6"/>
  <c r="G46" i="6"/>
  <c r="K46" i="6"/>
  <c r="O46" i="6"/>
  <c r="M50" i="6"/>
  <c r="B11" i="14" s="1"/>
  <c r="B10" i="14" s="1"/>
  <c r="C54" i="6"/>
  <c r="M58" i="6"/>
  <c r="B13" i="14" s="1"/>
  <c r="C62" i="6"/>
  <c r="M66" i="6"/>
  <c r="B15" i="14" s="1"/>
  <c r="C106" i="6"/>
  <c r="C70" i="6"/>
  <c r="R92" i="6"/>
  <c r="AD87" i="6"/>
  <c r="AH87" i="6"/>
  <c r="C92" i="6"/>
  <c r="F131" i="6"/>
  <c r="K46" i="13"/>
  <c r="J34" i="7"/>
  <c r="J33" i="7" s="1"/>
  <c r="E130" i="6"/>
  <c r="D29" i="7"/>
  <c r="D129" i="6"/>
  <c r="I37" i="7"/>
  <c r="I36" i="7" s="1"/>
  <c r="D131" i="6"/>
  <c r="J54" i="7"/>
  <c r="J53" i="7" s="1"/>
  <c r="O54" i="7" s="1"/>
  <c r="O53" i="7" s="1"/>
  <c r="O45" i="7" s="1"/>
  <c r="E45" i="7"/>
  <c r="G20" i="7"/>
  <c r="G21" i="7"/>
  <c r="G19" i="7" s="1"/>
  <c r="L21" i="7"/>
  <c r="Q21" i="7"/>
  <c r="G26" i="7"/>
  <c r="L26" i="7"/>
  <c r="Q26" i="7"/>
  <c r="G66" i="7"/>
  <c r="L66" i="7"/>
  <c r="Q66" i="7"/>
  <c r="G91" i="7"/>
  <c r="G90" i="7" s="1"/>
  <c r="G15" i="13"/>
  <c r="G16" i="13"/>
  <c r="L16" i="13"/>
  <c r="Q16" i="13"/>
  <c r="G17" i="13"/>
  <c r="L17" i="13"/>
  <c r="Q17" i="13"/>
  <c r="D19" i="13"/>
  <c r="D13" i="13" s="1"/>
  <c r="G26" i="13"/>
  <c r="L26" i="13"/>
  <c r="Q26" i="13"/>
  <c r="G27" i="13"/>
  <c r="L27" i="13"/>
  <c r="Q27" i="13"/>
  <c r="E24" i="13"/>
  <c r="E13" i="13" s="1"/>
  <c r="D13" i="7"/>
  <c r="E69" i="13"/>
  <c r="E63" i="13" s="1"/>
  <c r="Q18" i="13"/>
  <c r="I45" i="13"/>
  <c r="L18" i="13"/>
  <c r="F134" i="6"/>
  <c r="F132" i="6" s="1"/>
  <c r="J134" i="6"/>
  <c r="F45" i="13"/>
  <c r="F47" i="7"/>
  <c r="F46" i="13"/>
  <c r="E46" i="13"/>
  <c r="D45" i="13"/>
  <c r="E131" i="6"/>
  <c r="I131" i="6"/>
  <c r="C131" i="6"/>
  <c r="G28" i="13"/>
  <c r="F13" i="7"/>
  <c r="G18" i="13"/>
  <c r="C14" i="13"/>
  <c r="I59" i="7"/>
  <c r="I58" i="7" s="1"/>
  <c r="I46" i="7" s="1"/>
  <c r="D46" i="7"/>
  <c r="K65" i="7"/>
  <c r="K64" i="7" s="1"/>
  <c r="K63" i="7" s="1"/>
  <c r="F44" i="7"/>
  <c r="J91" i="7"/>
  <c r="J90" i="7" s="1"/>
  <c r="E134" i="6"/>
  <c r="E132" i="6" s="1"/>
  <c r="D47" i="13"/>
  <c r="D47" i="7"/>
  <c r="D44" i="7"/>
  <c r="D86" i="7"/>
  <c r="D133" i="6"/>
  <c r="I94" i="7"/>
  <c r="I93" i="7" s="1"/>
  <c r="D135" i="6"/>
  <c r="I59" i="13"/>
  <c r="I58" i="13" s="1"/>
  <c r="D46" i="13"/>
  <c r="G21" i="13"/>
  <c r="L21" i="13"/>
  <c r="Q21" i="13"/>
  <c r="G22" i="13"/>
  <c r="L22" i="13"/>
  <c r="Q22" i="13"/>
  <c r="G23" i="13"/>
  <c r="L23" i="13"/>
  <c r="Q23" i="13"/>
  <c r="G25" i="13"/>
  <c r="L28" i="13"/>
  <c r="Q28" i="13"/>
  <c r="G31" i="13"/>
  <c r="G37" i="13"/>
  <c r="L50" i="13"/>
  <c r="Q50" i="13"/>
  <c r="G51" i="13"/>
  <c r="Q51" i="13"/>
  <c r="G52" i="13"/>
  <c r="L52" i="13"/>
  <c r="C53" i="13"/>
  <c r="C45" i="13" s="1"/>
  <c r="Q55" i="13"/>
  <c r="G56" i="13"/>
  <c r="L56" i="13"/>
  <c r="Q56" i="13"/>
  <c r="G57" i="13"/>
  <c r="L57" i="13"/>
  <c r="Q57" i="13"/>
  <c r="G59" i="13"/>
  <c r="G60" i="13"/>
  <c r="L60" i="13"/>
  <c r="Q60" i="13"/>
  <c r="G61" i="13"/>
  <c r="L61" i="13"/>
  <c r="Q61" i="13"/>
  <c r="G62" i="13"/>
  <c r="L62" i="13"/>
  <c r="Q62" i="13"/>
  <c r="G65" i="13"/>
  <c r="G66" i="13"/>
  <c r="L66" i="13"/>
  <c r="Q66" i="13"/>
  <c r="G67" i="13"/>
  <c r="L67" i="13"/>
  <c r="Q67" i="13"/>
  <c r="G68" i="13"/>
  <c r="L68" i="13"/>
  <c r="Q68" i="13"/>
  <c r="G70" i="13"/>
  <c r="G71" i="13"/>
  <c r="L71" i="13"/>
  <c r="Q71" i="13"/>
  <c r="G72" i="13"/>
  <c r="L72" i="13"/>
  <c r="Q72" i="13"/>
  <c r="G73" i="13"/>
  <c r="L73" i="13"/>
  <c r="Q73" i="13"/>
  <c r="G75" i="13"/>
  <c r="G76" i="13"/>
  <c r="L76" i="13"/>
  <c r="Q76" i="13"/>
  <c r="G77" i="13"/>
  <c r="L77" i="13"/>
  <c r="Q77" i="13"/>
  <c r="G78" i="13"/>
  <c r="L78" i="13"/>
  <c r="Q78" i="13"/>
  <c r="G88" i="13"/>
  <c r="G91" i="13"/>
  <c r="G94" i="13"/>
  <c r="F29" i="7"/>
  <c r="G34" i="7"/>
  <c r="G33" i="7" s="1"/>
  <c r="G50" i="7"/>
  <c r="L50" i="7"/>
  <c r="Q50" i="7"/>
  <c r="G54" i="7"/>
  <c r="G55" i="7"/>
  <c r="L55" i="7"/>
  <c r="Q55" i="7"/>
  <c r="G60" i="7"/>
  <c r="L60" i="7"/>
  <c r="Q60" i="7"/>
  <c r="E63" i="7"/>
  <c r="G65" i="7"/>
  <c r="G71" i="7"/>
  <c r="L71" i="7"/>
  <c r="C74" i="7"/>
  <c r="C46" i="7" s="1"/>
  <c r="L76" i="7"/>
  <c r="Q76" i="7"/>
  <c r="G7" i="13"/>
  <c r="D44" i="13"/>
  <c r="D43" i="13" s="1"/>
  <c r="F48" i="13"/>
  <c r="K49" i="13" s="1"/>
  <c r="K48" i="13" s="1"/>
  <c r="J76" i="6"/>
  <c r="J75" i="6" s="1"/>
  <c r="J42" i="6"/>
  <c r="L76" i="6"/>
  <c r="L75" i="6" s="1"/>
  <c r="N76" i="6"/>
  <c r="N42" i="6"/>
  <c r="P76" i="6"/>
  <c r="P75" i="6" s="1"/>
  <c r="P42" i="6"/>
  <c r="G98" i="7"/>
  <c r="D104" i="6"/>
  <c r="G104" i="7"/>
  <c r="D106" i="6"/>
  <c r="F76" i="6"/>
  <c r="F75" i="6" s="1"/>
  <c r="F42" i="6"/>
  <c r="G101" i="7"/>
  <c r="D105" i="6"/>
  <c r="D75" i="6"/>
  <c r="K141" i="6"/>
  <c r="G141" i="6"/>
  <c r="M141" i="6"/>
  <c r="I141" i="6"/>
  <c r="E141" i="6"/>
  <c r="L142" i="6"/>
  <c r="H142" i="6"/>
  <c r="D142" i="6"/>
  <c r="N142" i="6"/>
  <c r="J142" i="6"/>
  <c r="F142" i="6"/>
  <c r="G11" i="13"/>
  <c r="G11" i="7"/>
  <c r="K143" i="6"/>
  <c r="G143" i="6"/>
  <c r="C143" i="6"/>
  <c r="M143" i="6"/>
  <c r="I143" i="6"/>
  <c r="E143" i="6"/>
  <c r="H15" i="7"/>
  <c r="C13" i="7"/>
  <c r="J15" i="7"/>
  <c r="J14" i="7" s="1"/>
  <c r="E13" i="7"/>
  <c r="H19" i="7"/>
  <c r="M20" i="7" s="1"/>
  <c r="L20" i="7"/>
  <c r="L25" i="7"/>
  <c r="L24" i="7" s="1"/>
  <c r="H24" i="7"/>
  <c r="M25" i="7" s="1"/>
  <c r="H31" i="7"/>
  <c r="C29" i="7"/>
  <c r="J31" i="7"/>
  <c r="J30" i="7" s="1"/>
  <c r="E29" i="7"/>
  <c r="I34" i="7"/>
  <c r="I33" i="7" s="1"/>
  <c r="D130" i="6"/>
  <c r="K34" i="7"/>
  <c r="K33" i="7" s="1"/>
  <c r="F130" i="6"/>
  <c r="N37" i="7"/>
  <c r="N36" i="7" s="1"/>
  <c r="L131" i="6" s="1"/>
  <c r="H131" i="6"/>
  <c r="L37" i="7"/>
  <c r="L36" i="7" s="1"/>
  <c r="H36" i="7"/>
  <c r="I54" i="7"/>
  <c r="I53" i="7" s="1"/>
  <c r="D45" i="7"/>
  <c r="D43" i="7" s="1"/>
  <c r="K54" i="7"/>
  <c r="K53" i="7" s="1"/>
  <c r="F45" i="7"/>
  <c r="P59" i="7"/>
  <c r="P58" i="7" s="1"/>
  <c r="P46" i="7" s="1"/>
  <c r="K46" i="7"/>
  <c r="O65" i="7"/>
  <c r="O64" i="7" s="1"/>
  <c r="O63" i="7" s="1"/>
  <c r="J63" i="7"/>
  <c r="H28" i="6"/>
  <c r="C43" i="6"/>
  <c r="E43" i="6"/>
  <c r="G43" i="6"/>
  <c r="I43" i="6"/>
  <c r="K43" i="6"/>
  <c r="M43" i="6"/>
  <c r="O43" i="6"/>
  <c r="Q43" i="6"/>
  <c r="I45" i="6"/>
  <c r="I78" i="6" s="1"/>
  <c r="F80" i="6"/>
  <c r="J80" i="6"/>
  <c r="L80" i="6"/>
  <c r="N80" i="6"/>
  <c r="P80" i="6"/>
  <c r="H85" i="6"/>
  <c r="C141" i="6"/>
  <c r="C140" i="6" s="1"/>
  <c r="L141" i="6"/>
  <c r="H141" i="6"/>
  <c r="D141" i="6"/>
  <c r="N141" i="6"/>
  <c r="J141" i="6"/>
  <c r="F141" i="6"/>
  <c r="G10" i="13"/>
  <c r="G10" i="7"/>
  <c r="K142" i="6"/>
  <c r="G142" i="6"/>
  <c r="C142" i="6"/>
  <c r="M142" i="6"/>
  <c r="I142" i="6"/>
  <c r="E142" i="6"/>
  <c r="L143" i="6"/>
  <c r="H143" i="6"/>
  <c r="D143" i="6"/>
  <c r="N143" i="6"/>
  <c r="J143" i="6"/>
  <c r="F143" i="6"/>
  <c r="G12" i="13"/>
  <c r="G12" i="7"/>
  <c r="H33" i="7"/>
  <c r="P37" i="7"/>
  <c r="P36" i="7" s="1"/>
  <c r="N131" i="6" s="1"/>
  <c r="J131" i="6"/>
  <c r="H49" i="7"/>
  <c r="C44" i="7"/>
  <c r="C47" i="7"/>
  <c r="J49" i="7"/>
  <c r="J48" i="7" s="1"/>
  <c r="E44" i="7"/>
  <c r="E47" i="7"/>
  <c r="H53" i="7"/>
  <c r="N59" i="7"/>
  <c r="N58" i="7" s="1"/>
  <c r="N46" i="7" s="1"/>
  <c r="H59" i="7"/>
  <c r="J59" i="7"/>
  <c r="J58" i="7" s="1"/>
  <c r="E46" i="7"/>
  <c r="N65" i="7"/>
  <c r="N64" i="7" s="1"/>
  <c r="N63" i="7" s="1"/>
  <c r="I63" i="7"/>
  <c r="H31" i="6"/>
  <c r="H32" i="6"/>
  <c r="H44" i="6" s="1"/>
  <c r="H77" i="6" s="1"/>
  <c r="C58" i="6"/>
  <c r="C66" i="6"/>
  <c r="H87" i="6"/>
  <c r="R87" i="6"/>
  <c r="X87" i="6"/>
  <c r="Z87" i="6"/>
  <c r="E128" i="6"/>
  <c r="H90" i="7"/>
  <c r="L91" i="7"/>
  <c r="L90" i="7" s="1"/>
  <c r="M7" i="13"/>
  <c r="Q7" i="13" s="1"/>
  <c r="L7" i="13"/>
  <c r="H19" i="13"/>
  <c r="H24" i="13"/>
  <c r="H54" i="13"/>
  <c r="H7" i="7"/>
  <c r="G15" i="7"/>
  <c r="G14" i="7" s="1"/>
  <c r="I15" i="7"/>
  <c r="I14" i="7" s="1"/>
  <c r="K15" i="7"/>
  <c r="K14" i="7" s="1"/>
  <c r="G25" i="7"/>
  <c r="G24" i="7" s="1"/>
  <c r="G31" i="7"/>
  <c r="G30" i="7" s="1"/>
  <c r="I31" i="7"/>
  <c r="I30" i="7" s="1"/>
  <c r="K31" i="7"/>
  <c r="K30" i="7" s="1"/>
  <c r="G37" i="7"/>
  <c r="G36" i="7" s="1"/>
  <c r="G49" i="7"/>
  <c r="G48" i="7" s="1"/>
  <c r="I49" i="7"/>
  <c r="I48" i="7" s="1"/>
  <c r="K49" i="7"/>
  <c r="K48" i="7" s="1"/>
  <c r="G59" i="7"/>
  <c r="L70" i="7"/>
  <c r="L69" i="7" s="1"/>
  <c r="G70" i="7"/>
  <c r="G69" i="7" s="1"/>
  <c r="G76" i="7"/>
  <c r="H88" i="7"/>
  <c r="C86" i="7"/>
  <c r="J88" i="7"/>
  <c r="J87" i="7" s="1"/>
  <c r="E86" i="7"/>
  <c r="H93" i="7"/>
  <c r="I15" i="13"/>
  <c r="I14" i="13" s="1"/>
  <c r="K15" i="13"/>
  <c r="K14" i="13" s="1"/>
  <c r="F13" i="13"/>
  <c r="F47" i="13"/>
  <c r="P54" i="13"/>
  <c r="P53" i="13" s="1"/>
  <c r="P45" i="13" s="1"/>
  <c r="K45" i="13"/>
  <c r="F43" i="7"/>
  <c r="D63" i="7"/>
  <c r="F63" i="7"/>
  <c r="M64" i="7"/>
  <c r="H69" i="7"/>
  <c r="M70" i="7" s="1"/>
  <c r="Q71" i="7"/>
  <c r="G75" i="7"/>
  <c r="I63" i="13"/>
  <c r="N65" i="13"/>
  <c r="N64" i="13" s="1"/>
  <c r="J65" i="13"/>
  <c r="J64" i="13" s="1"/>
  <c r="H69" i="13"/>
  <c r="G88" i="7"/>
  <c r="G87" i="7" s="1"/>
  <c r="I88" i="7"/>
  <c r="I87" i="7" s="1"/>
  <c r="K88" i="7"/>
  <c r="K87" i="7" s="1"/>
  <c r="G94" i="7"/>
  <c r="G93" i="7" s="1"/>
  <c r="H15" i="13"/>
  <c r="J15" i="13"/>
  <c r="J14" i="13" s="1"/>
  <c r="G20" i="13"/>
  <c r="G34" i="13"/>
  <c r="I49" i="13"/>
  <c r="I48" i="13" s="1"/>
  <c r="J54" i="13"/>
  <c r="J53" i="13" s="1"/>
  <c r="N54" i="13"/>
  <c r="N53" i="13" s="1"/>
  <c r="N45" i="13" s="1"/>
  <c r="G55" i="13"/>
  <c r="K63" i="13"/>
  <c r="P65" i="13"/>
  <c r="P64" i="13" s="1"/>
  <c r="J46" i="13"/>
  <c r="C48" i="13"/>
  <c r="E48" i="13"/>
  <c r="G49" i="13"/>
  <c r="G50" i="13"/>
  <c r="L51" i="13"/>
  <c r="Q52" i="13"/>
  <c r="G54" i="13"/>
  <c r="L55" i="13"/>
  <c r="R49" i="12"/>
  <c r="C58" i="13"/>
  <c r="D63" i="13"/>
  <c r="F63" i="13"/>
  <c r="C64" i="13"/>
  <c r="C74" i="13"/>
  <c r="R34" i="12"/>
  <c r="R54" i="12"/>
  <c r="R8" i="12"/>
  <c r="B3" i="12"/>
  <c r="J32" i="12"/>
  <c r="H39" i="12"/>
  <c r="B33" i="12"/>
  <c r="N39" i="12"/>
  <c r="J33" i="12"/>
  <c r="D14" i="12"/>
  <c r="G38" i="12"/>
  <c r="E32" i="12"/>
  <c r="D32" i="12"/>
  <c r="D39" i="12"/>
  <c r="G13" i="12"/>
  <c r="G14" i="12"/>
  <c r="I12" i="12"/>
  <c r="O37" i="12"/>
  <c r="M39" i="12"/>
  <c r="I37" i="12"/>
  <c r="J12" i="12"/>
  <c r="I33" i="12"/>
  <c r="O33" i="12"/>
  <c r="E33" i="12"/>
  <c r="C32" i="12"/>
  <c r="B32" i="12"/>
  <c r="D38" i="12"/>
  <c r="C39" i="12"/>
  <c r="E39" i="12"/>
  <c r="C13" i="12"/>
  <c r="I39" i="12"/>
  <c r="H12" i="12"/>
  <c r="M37" i="12"/>
  <c r="B37" i="12"/>
  <c r="H33" i="12"/>
  <c r="J39" i="12"/>
  <c r="H32" i="12"/>
  <c r="C33" i="12"/>
  <c r="B39" i="12"/>
  <c r="D33" i="12"/>
  <c r="M33" i="12"/>
  <c r="B12" i="12"/>
  <c r="O39" i="12"/>
  <c r="O38" i="12"/>
  <c r="L42" i="6" l="1"/>
  <c r="G64" i="7"/>
  <c r="D117" i="6"/>
  <c r="E117" i="6" s="1"/>
  <c r="P65" i="7"/>
  <c r="P64" i="7" s="1"/>
  <c r="P63" i="7" s="1"/>
  <c r="B5" i="14"/>
  <c r="H46" i="6"/>
  <c r="G74" i="7"/>
  <c r="H75" i="7"/>
  <c r="N75" i="6"/>
  <c r="B9" i="14"/>
  <c r="F44" i="13"/>
  <c r="L94" i="7"/>
  <c r="L93" i="7" s="1"/>
  <c r="G19" i="13"/>
  <c r="G58" i="7"/>
  <c r="G113" i="6"/>
  <c r="J45" i="7"/>
  <c r="L19" i="7"/>
  <c r="G14" i="13"/>
  <c r="E45" i="13"/>
  <c r="G53" i="13"/>
  <c r="L65" i="7"/>
  <c r="L64" i="7" s="1"/>
  <c r="G83" i="7"/>
  <c r="G85" i="7"/>
  <c r="G24" i="13"/>
  <c r="I20" i="13"/>
  <c r="O34" i="7"/>
  <c r="O33" i="7" s="1"/>
  <c r="M130" i="6" s="1"/>
  <c r="I130" i="6"/>
  <c r="J70" i="13"/>
  <c r="J25" i="13"/>
  <c r="C13" i="13"/>
  <c r="O91" i="7"/>
  <c r="O90" i="7" s="1"/>
  <c r="M134" i="6" s="1"/>
  <c r="I134" i="6"/>
  <c r="N59" i="13"/>
  <c r="N58" i="13" s="1"/>
  <c r="N46" i="13" s="1"/>
  <c r="I46" i="13"/>
  <c r="N94" i="7"/>
  <c r="N93" i="7" s="1"/>
  <c r="L135" i="6" s="1"/>
  <c r="H135" i="6"/>
  <c r="D132" i="6"/>
  <c r="C63" i="7"/>
  <c r="L54" i="7"/>
  <c r="L53" i="7" s="1"/>
  <c r="L45" i="7" s="1"/>
  <c r="L34" i="7"/>
  <c r="L33" i="7" s="1"/>
  <c r="G53" i="7"/>
  <c r="G45" i="7" s="1"/>
  <c r="G74" i="13"/>
  <c r="G69" i="13"/>
  <c r="G45" i="13" s="1"/>
  <c r="G64" i="13"/>
  <c r="G58" i="13"/>
  <c r="C117" i="6"/>
  <c r="G3" i="12"/>
  <c r="F3" i="12"/>
  <c r="R9" i="12"/>
  <c r="H75" i="13"/>
  <c r="H59" i="13"/>
  <c r="C46" i="13"/>
  <c r="J49" i="13"/>
  <c r="J48" i="13" s="1"/>
  <c r="E47" i="13"/>
  <c r="E44" i="13"/>
  <c r="P63" i="13"/>
  <c r="N49" i="13"/>
  <c r="N48" i="13" s="1"/>
  <c r="I47" i="13"/>
  <c r="I44" i="13"/>
  <c r="O15" i="13"/>
  <c r="O14" i="13" s="1"/>
  <c r="N88" i="7"/>
  <c r="N87" i="7" s="1"/>
  <c r="I86" i="7"/>
  <c r="H133" i="6"/>
  <c r="M70" i="13"/>
  <c r="O65" i="13"/>
  <c r="O64" i="13" s="1"/>
  <c r="N63" i="13"/>
  <c r="P49" i="13"/>
  <c r="P48" i="13" s="1"/>
  <c r="K47" i="13"/>
  <c r="K44" i="13"/>
  <c r="K13" i="13"/>
  <c r="P15" i="13"/>
  <c r="P14" i="13" s="1"/>
  <c r="N15" i="13"/>
  <c r="N14" i="13" s="1"/>
  <c r="J86" i="7"/>
  <c r="O88" i="7"/>
  <c r="O87" i="7" s="1"/>
  <c r="I133" i="6"/>
  <c r="L88" i="7"/>
  <c r="L87" i="7" s="1"/>
  <c r="H87" i="7"/>
  <c r="N49" i="7"/>
  <c r="N48" i="7" s="1"/>
  <c r="I44" i="7"/>
  <c r="I47" i="7"/>
  <c r="N31" i="7"/>
  <c r="N30" i="7" s="1"/>
  <c r="I29" i="7"/>
  <c r="H129" i="6"/>
  <c r="N15" i="7"/>
  <c r="N14" i="7" s="1"/>
  <c r="N13" i="7" s="1"/>
  <c r="I13" i="7"/>
  <c r="L7" i="7"/>
  <c r="M7" i="7"/>
  <c r="Q7" i="7" s="1"/>
  <c r="H53" i="13"/>
  <c r="L54" i="13"/>
  <c r="L53" i="13" s="1"/>
  <c r="M25" i="13"/>
  <c r="M91" i="7"/>
  <c r="G134" i="6"/>
  <c r="H43" i="6"/>
  <c r="H30" i="6"/>
  <c r="H80" i="6"/>
  <c r="J47" i="7"/>
  <c r="O49" i="7"/>
  <c r="O48" i="7" s="1"/>
  <c r="J44" i="7"/>
  <c r="C43" i="7"/>
  <c r="G42" i="7"/>
  <c r="C12" i="7"/>
  <c r="G40" i="7"/>
  <c r="C10" i="7"/>
  <c r="G9" i="7"/>
  <c r="Q42" i="6"/>
  <c r="Q76" i="6"/>
  <c r="Q75" i="6" s="1"/>
  <c r="M42" i="6"/>
  <c r="M76" i="6"/>
  <c r="M75" i="6" s="1"/>
  <c r="I42" i="6"/>
  <c r="I76" i="6"/>
  <c r="I75" i="6" s="1"/>
  <c r="E42" i="6"/>
  <c r="E76" i="6"/>
  <c r="E75" i="6" s="1"/>
  <c r="I28" i="6"/>
  <c r="M28" i="6"/>
  <c r="N28" i="6" s="1"/>
  <c r="P54" i="7"/>
  <c r="P53" i="7" s="1"/>
  <c r="P45" i="7" s="1"/>
  <c r="K45" i="7"/>
  <c r="N54" i="7"/>
  <c r="N53" i="7" s="1"/>
  <c r="N45" i="7" s="1"/>
  <c r="I45" i="7"/>
  <c r="J130" i="6"/>
  <c r="P34" i="7"/>
  <c r="P33" i="7" s="1"/>
  <c r="N130" i="6" s="1"/>
  <c r="H130" i="6"/>
  <c r="N34" i="7"/>
  <c r="N33" i="7" s="1"/>
  <c r="L130" i="6" s="1"/>
  <c r="J29" i="7"/>
  <c r="O31" i="7"/>
  <c r="O30" i="7" s="1"/>
  <c r="I129" i="6"/>
  <c r="L31" i="7"/>
  <c r="L30" i="7" s="1"/>
  <c r="L29" i="7" s="1"/>
  <c r="H30" i="7"/>
  <c r="Q20" i="7"/>
  <c r="Q19" i="7" s="1"/>
  <c r="M19" i="7"/>
  <c r="J13" i="7"/>
  <c r="O15" i="7"/>
  <c r="O14" i="7" s="1"/>
  <c r="O13" i="7" s="1"/>
  <c r="L15" i="7"/>
  <c r="L14" i="7" s="1"/>
  <c r="L13" i="7" s="1"/>
  <c r="H14" i="7"/>
  <c r="C11" i="13"/>
  <c r="G101" i="13"/>
  <c r="G100" i="7"/>
  <c r="G104" i="13"/>
  <c r="G103" i="7"/>
  <c r="G98" i="13"/>
  <c r="G97" i="7"/>
  <c r="G46" i="7"/>
  <c r="G63" i="7"/>
  <c r="F140" i="6"/>
  <c r="N140" i="6"/>
  <c r="H140" i="6"/>
  <c r="I140" i="6"/>
  <c r="G140" i="6"/>
  <c r="F113" i="6"/>
  <c r="F117" i="6"/>
  <c r="G117" i="6"/>
  <c r="C63" i="13"/>
  <c r="H65" i="13"/>
  <c r="H49" i="13"/>
  <c r="C47" i="13"/>
  <c r="C44" i="13"/>
  <c r="O54" i="13"/>
  <c r="O53" i="13" s="1"/>
  <c r="H14" i="13"/>
  <c r="L15" i="13"/>
  <c r="L14" i="13" s="1"/>
  <c r="P88" i="7"/>
  <c r="P87" i="7" s="1"/>
  <c r="K86" i="7"/>
  <c r="J133" i="6"/>
  <c r="M69" i="7"/>
  <c r="Q70" i="7"/>
  <c r="Q69" i="7" s="1"/>
  <c r="F43" i="13"/>
  <c r="M94" i="7"/>
  <c r="G135" i="6"/>
  <c r="P49" i="7"/>
  <c r="P48" i="7" s="1"/>
  <c r="K44" i="7"/>
  <c r="K47" i="7"/>
  <c r="G44" i="7"/>
  <c r="G47" i="7"/>
  <c r="P31" i="7"/>
  <c r="P30" i="7" s="1"/>
  <c r="J129" i="6"/>
  <c r="K29" i="7"/>
  <c r="P15" i="7"/>
  <c r="P14" i="7" s="1"/>
  <c r="P13" i="7" s="1"/>
  <c r="K13" i="7"/>
  <c r="M20" i="13"/>
  <c r="G83" i="13"/>
  <c r="Q83" i="7"/>
  <c r="Q83" i="13" s="1"/>
  <c r="L83" i="7"/>
  <c r="L83" i="13" s="1"/>
  <c r="H74" i="7"/>
  <c r="M75" i="7" s="1"/>
  <c r="L75" i="7"/>
  <c r="L74" i="7" s="1"/>
  <c r="L63" i="7" s="1"/>
  <c r="O59" i="7"/>
  <c r="O58" i="7" s="1"/>
  <c r="O46" i="7" s="1"/>
  <c r="J46" i="7"/>
  <c r="L59" i="7"/>
  <c r="L58" i="7" s="1"/>
  <c r="H58" i="7"/>
  <c r="M54" i="7"/>
  <c r="H45" i="7"/>
  <c r="E43" i="7"/>
  <c r="L49" i="7"/>
  <c r="L48" i="7" s="1"/>
  <c r="H48" i="7"/>
  <c r="M34" i="7"/>
  <c r="G130" i="6"/>
  <c r="C12" i="13"/>
  <c r="G9" i="13"/>
  <c r="C6" i="14" s="1"/>
  <c r="C10" i="13"/>
  <c r="I85" i="6"/>
  <c r="M85" i="6"/>
  <c r="G85" i="13"/>
  <c r="Q85" i="7"/>
  <c r="Q85" i="13" s="1"/>
  <c r="L85" i="7"/>
  <c r="L85" i="13" s="1"/>
  <c r="O42" i="6"/>
  <c r="O76" i="6"/>
  <c r="O75" i="6" s="1"/>
  <c r="K42" i="6"/>
  <c r="K76" i="6"/>
  <c r="K75" i="6" s="1"/>
  <c r="G42" i="6"/>
  <c r="G76" i="6"/>
  <c r="G75" i="6" s="1"/>
  <c r="C42" i="6"/>
  <c r="C76" i="6"/>
  <c r="C75" i="6" s="1"/>
  <c r="M37" i="7"/>
  <c r="G131" i="6"/>
  <c r="F128" i="6"/>
  <c r="D128" i="6"/>
  <c r="M24" i="7"/>
  <c r="Q25" i="7"/>
  <c r="Q24" i="7" s="1"/>
  <c r="G41" i="7"/>
  <c r="C11" i="7"/>
  <c r="L101" i="7"/>
  <c r="E105" i="6"/>
  <c r="Q101" i="7" s="1"/>
  <c r="L104" i="7"/>
  <c r="E106" i="6"/>
  <c r="Q104" i="7" s="1"/>
  <c r="L98" i="7"/>
  <c r="E104" i="6"/>
  <c r="Q98" i="7" s="1"/>
  <c r="G48" i="13"/>
  <c r="G86" i="7"/>
  <c r="G29" i="7"/>
  <c r="G13" i="7"/>
  <c r="J140" i="6"/>
  <c r="D140" i="6"/>
  <c r="L140" i="6"/>
  <c r="E140" i="6"/>
  <c r="M140" i="6"/>
  <c r="K140" i="6"/>
  <c r="D113" i="6"/>
  <c r="N33" i="12"/>
  <c r="N34" i="12"/>
  <c r="N37" i="12"/>
  <c r="E34" i="12"/>
  <c r="I34" i="12"/>
  <c r="B9" i="12"/>
  <c r="G12" i="12"/>
  <c r="H34" i="12"/>
  <c r="G33" i="12"/>
  <c r="B34" i="12"/>
  <c r="I32" i="12"/>
  <c r="D34" i="12"/>
  <c r="B8" i="12"/>
  <c r="M34" i="12"/>
  <c r="B7" i="12"/>
  <c r="O12" i="12"/>
  <c r="M12" i="12"/>
  <c r="O32" i="12"/>
  <c r="J34" i="12"/>
  <c r="C34" i="12"/>
  <c r="M32" i="12"/>
  <c r="O34" i="12"/>
  <c r="N12" i="12"/>
  <c r="Q65" i="7" l="1"/>
  <c r="Q64" i="7" s="1"/>
  <c r="G13" i="13"/>
  <c r="C7" i="14" s="1"/>
  <c r="D7" i="14" s="1"/>
  <c r="F7" i="14" s="1"/>
  <c r="L86" i="7"/>
  <c r="H63" i="7"/>
  <c r="J24" i="13"/>
  <c r="L25" i="13"/>
  <c r="L24" i="13" s="1"/>
  <c r="I19" i="13"/>
  <c r="L20" i="13"/>
  <c r="L19" i="13" s="1"/>
  <c r="J69" i="13"/>
  <c r="L70" i="13"/>
  <c r="L69" i="13" s="1"/>
  <c r="L45" i="13" s="1"/>
  <c r="G63" i="13"/>
  <c r="C12" i="14" s="1"/>
  <c r="D12" i="14" s="1"/>
  <c r="F12" i="14" s="1"/>
  <c r="L46" i="7"/>
  <c r="G46" i="13"/>
  <c r="Q98" i="13"/>
  <c r="Q97" i="7"/>
  <c r="E113" i="6"/>
  <c r="C113" i="6" s="1"/>
  <c r="L98" i="13"/>
  <c r="L97" i="7"/>
  <c r="L104" i="13"/>
  <c r="L103" i="7"/>
  <c r="L101" i="13"/>
  <c r="L100" i="7"/>
  <c r="G82" i="7"/>
  <c r="H47" i="7"/>
  <c r="M49" i="7"/>
  <c r="H44" i="7"/>
  <c r="M59" i="7"/>
  <c r="H46" i="7"/>
  <c r="P29" i="7"/>
  <c r="N129" i="6"/>
  <c r="G43" i="7"/>
  <c r="K43" i="7"/>
  <c r="J132" i="6"/>
  <c r="P86" i="7"/>
  <c r="N133" i="6"/>
  <c r="M15" i="13"/>
  <c r="H13" i="13"/>
  <c r="H64" i="13"/>
  <c r="L65" i="13"/>
  <c r="L64" i="13" s="1"/>
  <c r="H13" i="7"/>
  <c r="M15" i="7"/>
  <c r="H29" i="7"/>
  <c r="M31" i="7"/>
  <c r="G129" i="6"/>
  <c r="I128" i="6"/>
  <c r="C40" i="7"/>
  <c r="G84" i="7"/>
  <c r="G109" i="7" s="1"/>
  <c r="G113" i="7" s="1"/>
  <c r="J43" i="7"/>
  <c r="M24" i="13"/>
  <c r="M54" i="13"/>
  <c r="H45" i="13"/>
  <c r="N47" i="7"/>
  <c r="N44" i="7"/>
  <c r="O86" i="7"/>
  <c r="M133" i="6"/>
  <c r="P13" i="13"/>
  <c r="K43" i="13"/>
  <c r="P47" i="13"/>
  <c r="P44" i="13"/>
  <c r="M69" i="13"/>
  <c r="I43" i="13"/>
  <c r="N47" i="13"/>
  <c r="N44" i="13"/>
  <c r="E43" i="13"/>
  <c r="J47" i="13"/>
  <c r="O49" i="13"/>
  <c r="O48" i="13" s="1"/>
  <c r="J44" i="13"/>
  <c r="H58" i="13"/>
  <c r="L59" i="13"/>
  <c r="L58" i="13" s="1"/>
  <c r="G47" i="13"/>
  <c r="C11" i="14" s="1"/>
  <c r="G44" i="13"/>
  <c r="Q104" i="13"/>
  <c r="Q103" i="7"/>
  <c r="Q101" i="13"/>
  <c r="Q100" i="7"/>
  <c r="C41" i="7"/>
  <c r="M36" i="7"/>
  <c r="K131" i="6" s="1"/>
  <c r="Q37" i="7"/>
  <c r="Q36" i="7" s="1"/>
  <c r="N85" i="6"/>
  <c r="R85" i="6"/>
  <c r="C9" i="13"/>
  <c r="D6" i="14"/>
  <c r="F6" i="14" s="1"/>
  <c r="Q34" i="7"/>
  <c r="Q33" i="7" s="1"/>
  <c r="M33" i="7"/>
  <c r="K130" i="6" s="1"/>
  <c r="L47" i="7"/>
  <c r="L44" i="7"/>
  <c r="Q54" i="7"/>
  <c r="Q53" i="7" s="1"/>
  <c r="Q45" i="7" s="1"/>
  <c r="M53" i="7"/>
  <c r="M45" i="7" s="1"/>
  <c r="Q75" i="7"/>
  <c r="Q74" i="7" s="1"/>
  <c r="Q63" i="7" s="1"/>
  <c r="M74" i="7"/>
  <c r="M63" i="7" s="1"/>
  <c r="M19" i="13"/>
  <c r="J128" i="6"/>
  <c r="P47" i="7"/>
  <c r="P44" i="7"/>
  <c r="M93" i="7"/>
  <c r="K135" i="6" s="1"/>
  <c r="Q94" i="7"/>
  <c r="Q93" i="7" s="1"/>
  <c r="C43" i="13"/>
  <c r="L49" i="13"/>
  <c r="L48" i="13" s="1"/>
  <c r="H48" i="13"/>
  <c r="G97" i="13"/>
  <c r="E97" i="7"/>
  <c r="C97" i="7"/>
  <c r="F97" i="7"/>
  <c r="G96" i="7"/>
  <c r="G103" i="13"/>
  <c r="E103" i="7"/>
  <c r="E103" i="13" s="1"/>
  <c r="C103" i="7"/>
  <c r="C103" i="13" s="1"/>
  <c r="F103" i="7"/>
  <c r="F103" i="13" s="1"/>
  <c r="G100" i="13"/>
  <c r="F100" i="7"/>
  <c r="F100" i="13" s="1"/>
  <c r="E100" i="7"/>
  <c r="E100" i="13" s="1"/>
  <c r="C100" i="7"/>
  <c r="C100" i="13" s="1"/>
  <c r="O29" i="7"/>
  <c r="M129" i="6"/>
  <c r="G39" i="7"/>
  <c r="C42" i="7"/>
  <c r="C9" i="7"/>
  <c r="O44" i="7"/>
  <c r="O47" i="7"/>
  <c r="H76" i="6"/>
  <c r="H75" i="6" s="1"/>
  <c r="H42" i="6"/>
  <c r="G81" i="7"/>
  <c r="Q91" i="7"/>
  <c r="Q90" i="7" s="1"/>
  <c r="M90" i="7"/>
  <c r="K134" i="6" s="1"/>
  <c r="H128" i="6"/>
  <c r="N29" i="7"/>
  <c r="L129" i="6"/>
  <c r="I43" i="7"/>
  <c r="H86" i="7"/>
  <c r="M88" i="7"/>
  <c r="G133" i="6"/>
  <c r="I132" i="6"/>
  <c r="H132" i="6"/>
  <c r="N86" i="7"/>
  <c r="L133" i="6"/>
  <c r="H74" i="13"/>
  <c r="L75" i="13"/>
  <c r="L74" i="13" s="1"/>
  <c r="L3" i="12"/>
  <c r="P3" i="12" s="1"/>
  <c r="K3" i="12"/>
  <c r="G37" i="12"/>
  <c r="I38" i="12"/>
  <c r="G39" i="12"/>
  <c r="L13" i="12"/>
  <c r="D53" i="12"/>
  <c r="E53" i="12"/>
  <c r="G32" i="12"/>
  <c r="B54" i="12"/>
  <c r="H13" i="12"/>
  <c r="B53" i="12"/>
  <c r="D54" i="12"/>
  <c r="I14" i="12"/>
  <c r="N32" i="12"/>
  <c r="E54" i="12"/>
  <c r="L38" i="12"/>
  <c r="L14" i="12"/>
  <c r="G34" i="12"/>
  <c r="L13" i="13" l="1"/>
  <c r="N20" i="13"/>
  <c r="I13" i="13"/>
  <c r="O25" i="13"/>
  <c r="J13" i="13"/>
  <c r="O70" i="13"/>
  <c r="J63" i="13"/>
  <c r="J45" i="13"/>
  <c r="J43" i="13" s="1"/>
  <c r="G132" i="6"/>
  <c r="M128" i="6"/>
  <c r="F97" i="13"/>
  <c r="F96" i="7"/>
  <c r="E97" i="13"/>
  <c r="E96" i="7"/>
  <c r="H44" i="13"/>
  <c r="M49" i="13"/>
  <c r="H47" i="13"/>
  <c r="P43" i="7"/>
  <c r="S85" i="6"/>
  <c r="W85" i="6"/>
  <c r="Q100" i="13"/>
  <c r="P100" i="7"/>
  <c r="P100" i="13" s="1"/>
  <c r="O100" i="7"/>
  <c r="O100" i="13" s="1"/>
  <c r="M100" i="7"/>
  <c r="M100" i="13" s="1"/>
  <c r="Q103" i="13"/>
  <c r="O103" i="7"/>
  <c r="O103" i="13" s="1"/>
  <c r="M103" i="7"/>
  <c r="M103" i="13" s="1"/>
  <c r="P103" i="7"/>
  <c r="P103" i="13" s="1"/>
  <c r="G43" i="13"/>
  <c r="Q54" i="13"/>
  <c r="Q53" i="13" s="1"/>
  <c r="M53" i="13"/>
  <c r="C39" i="7"/>
  <c r="M30" i="7"/>
  <c r="Q31" i="7"/>
  <c r="Q30" i="7" s="1"/>
  <c r="Q29" i="7" s="1"/>
  <c r="M14" i="7"/>
  <c r="M13" i="7" s="1"/>
  <c r="Q15" i="7"/>
  <c r="Q14" i="7" s="1"/>
  <c r="Q13" i="7" s="1"/>
  <c r="Q15" i="13"/>
  <c r="Q14" i="13" s="1"/>
  <c r="M14" i="13"/>
  <c r="M58" i="7"/>
  <c r="M46" i="7" s="1"/>
  <c r="Q59" i="7"/>
  <c r="Q58" i="7" s="1"/>
  <c r="Q46" i="7" s="1"/>
  <c r="M48" i="7"/>
  <c r="Q49" i="7"/>
  <c r="Q48" i="7" s="1"/>
  <c r="G82" i="13"/>
  <c r="F82" i="7"/>
  <c r="E82" i="7"/>
  <c r="C82" i="7"/>
  <c r="G108" i="7"/>
  <c r="D100" i="7"/>
  <c r="D100" i="13" s="1"/>
  <c r="L46" i="13"/>
  <c r="G118" i="7"/>
  <c r="L63" i="13"/>
  <c r="G81" i="13"/>
  <c r="Q81" i="7"/>
  <c r="Q81" i="13" s="1"/>
  <c r="L81" i="7"/>
  <c r="L81" i="13" s="1"/>
  <c r="O43" i="7"/>
  <c r="M75" i="13"/>
  <c r="L132" i="6"/>
  <c r="M87" i="7"/>
  <c r="Q88" i="7"/>
  <c r="Q87" i="7" s="1"/>
  <c r="Q86" i="7" s="1"/>
  <c r="L128" i="6"/>
  <c r="C97" i="13"/>
  <c r="C96" i="7"/>
  <c r="L47" i="13"/>
  <c r="L44" i="13"/>
  <c r="L43" i="7"/>
  <c r="D11" i="14"/>
  <c r="F11" i="14" s="1"/>
  <c r="C10" i="14"/>
  <c r="M59" i="13"/>
  <c r="H46" i="13"/>
  <c r="O47" i="13"/>
  <c r="O44" i="13"/>
  <c r="N43" i="13"/>
  <c r="P43" i="13"/>
  <c r="M132" i="6"/>
  <c r="N43" i="7"/>
  <c r="G84" i="13"/>
  <c r="F84" i="7"/>
  <c r="E84" i="7"/>
  <c r="C84" i="7"/>
  <c r="G123" i="7"/>
  <c r="G128" i="6"/>
  <c r="M65" i="13"/>
  <c r="H63" i="13"/>
  <c r="N132" i="6"/>
  <c r="N128" i="6"/>
  <c r="H43" i="7"/>
  <c r="L100" i="13"/>
  <c r="J100" i="7"/>
  <c r="J100" i="13" s="1"/>
  <c r="H100" i="7"/>
  <c r="H100" i="13" s="1"/>
  <c r="K100" i="7"/>
  <c r="K100" i="13" s="1"/>
  <c r="L103" i="13"/>
  <c r="K103" i="7"/>
  <c r="K103" i="13" s="1"/>
  <c r="J103" i="7"/>
  <c r="J103" i="13" s="1"/>
  <c r="H103" i="7"/>
  <c r="H103" i="13" s="1"/>
  <c r="L97" i="13"/>
  <c r="K97" i="7"/>
  <c r="L96" i="7"/>
  <c r="J97" i="7"/>
  <c r="H97" i="7"/>
  <c r="Q97" i="13"/>
  <c r="Q96" i="13" s="1"/>
  <c r="O97" i="7"/>
  <c r="M97" i="7"/>
  <c r="P97" i="7"/>
  <c r="Q96" i="7"/>
  <c r="G80" i="7"/>
  <c r="D103" i="7"/>
  <c r="D103" i="13" s="1"/>
  <c r="D97" i="7"/>
  <c r="G96" i="13"/>
  <c r="C15" i="14" s="1"/>
  <c r="D15" i="14" s="1"/>
  <c r="F15" i="14" s="1"/>
  <c r="J54" i="12"/>
  <c r="C53" i="12"/>
  <c r="B52" i="12"/>
  <c r="L53" i="12"/>
  <c r="C54" i="12"/>
  <c r="I53" i="12"/>
  <c r="L33" i="12"/>
  <c r="G53" i="12"/>
  <c r="D52" i="12"/>
  <c r="O53" i="12"/>
  <c r="N54" i="12"/>
  <c r="O54" i="12"/>
  <c r="J53" i="12"/>
  <c r="G54" i="12"/>
  <c r="N53" i="12"/>
  <c r="I54" i="12"/>
  <c r="L12" i="12"/>
  <c r="E52" i="12"/>
  <c r="L54" i="12"/>
  <c r="O69" i="13" l="1"/>
  <c r="Q70" i="13"/>
  <c r="Q69" i="13" s="1"/>
  <c r="Q45" i="13" s="1"/>
  <c r="O24" i="13"/>
  <c r="Q25" i="13"/>
  <c r="Q24" i="13" s="1"/>
  <c r="N19" i="13"/>
  <c r="Q20" i="13"/>
  <c r="Q19" i="13" s="1"/>
  <c r="Q13" i="13" s="1"/>
  <c r="N97" i="7"/>
  <c r="N97" i="13" s="1"/>
  <c r="I97" i="7"/>
  <c r="I97" i="13" s="1"/>
  <c r="N103" i="7"/>
  <c r="N103" i="13" s="1"/>
  <c r="D97" i="13"/>
  <c r="D96" i="7"/>
  <c r="G80" i="13"/>
  <c r="F80" i="7"/>
  <c r="G79" i="7"/>
  <c r="G106" i="7" s="1"/>
  <c r="E80" i="7"/>
  <c r="C80" i="7"/>
  <c r="G107" i="7"/>
  <c r="M97" i="13"/>
  <c r="M96" i="7"/>
  <c r="J97" i="13"/>
  <c r="J96" i="7"/>
  <c r="C84" i="13"/>
  <c r="C109" i="7"/>
  <c r="Q59" i="13"/>
  <c r="Q58" i="13" s="1"/>
  <c r="M58" i="13"/>
  <c r="C96" i="13"/>
  <c r="Q75" i="13"/>
  <c r="Q74" i="13" s="1"/>
  <c r="M74" i="13"/>
  <c r="E82" i="13"/>
  <c r="E108" i="7"/>
  <c r="F82" i="13"/>
  <c r="F108" i="7"/>
  <c r="Q44" i="7"/>
  <c r="Q47" i="7"/>
  <c r="M13" i="13"/>
  <c r="M48" i="13"/>
  <c r="Q49" i="13"/>
  <c r="Q48" i="13" s="1"/>
  <c r="L96" i="13"/>
  <c r="I100" i="7"/>
  <c r="I100" i="13" s="1"/>
  <c r="D84" i="7"/>
  <c r="N100" i="7"/>
  <c r="N100" i="13" s="1"/>
  <c r="P97" i="13"/>
  <c r="P96" i="7"/>
  <c r="O97" i="13"/>
  <c r="O96" i="7"/>
  <c r="H97" i="13"/>
  <c r="H96" i="7"/>
  <c r="K97" i="13"/>
  <c r="K96" i="7"/>
  <c r="Q65" i="13"/>
  <c r="Q64" i="13" s="1"/>
  <c r="M64" i="13"/>
  <c r="E84" i="13"/>
  <c r="E109" i="7"/>
  <c r="F84" i="13"/>
  <c r="F109" i="7"/>
  <c r="D10" i="14"/>
  <c r="F10" i="14" s="1"/>
  <c r="L43" i="13"/>
  <c r="M86" i="7"/>
  <c r="K133" i="6"/>
  <c r="G112" i="7"/>
  <c r="G122" i="7" s="1"/>
  <c r="C82" i="13"/>
  <c r="C108" i="7"/>
  <c r="M44" i="7"/>
  <c r="M47" i="7"/>
  <c r="M29" i="7"/>
  <c r="K129" i="6"/>
  <c r="M45" i="13"/>
  <c r="X85" i="6"/>
  <c r="AB85" i="6"/>
  <c r="H43" i="13"/>
  <c r="E96" i="13"/>
  <c r="F96" i="13"/>
  <c r="I103" i="7"/>
  <c r="I103" i="13" s="1"/>
  <c r="D82" i="7"/>
  <c r="I52" i="12"/>
  <c r="L34" i="12"/>
  <c r="M13" i="12"/>
  <c r="B44" i="12"/>
  <c r="L37" i="12"/>
  <c r="D43" i="12"/>
  <c r="H53" i="12"/>
  <c r="H54" i="12"/>
  <c r="H52" i="12"/>
  <c r="J52" i="12"/>
  <c r="E43" i="12"/>
  <c r="C52" i="12"/>
  <c r="B43" i="12"/>
  <c r="L39" i="12"/>
  <c r="N38" i="12"/>
  <c r="M52" i="12"/>
  <c r="O52" i="12"/>
  <c r="M53" i="12"/>
  <c r="N14" i="12"/>
  <c r="L52" i="12"/>
  <c r="M54" i="12"/>
  <c r="E44" i="12"/>
  <c r="G52" i="12"/>
  <c r="N52" i="12"/>
  <c r="L32" i="12"/>
  <c r="D44" i="12"/>
  <c r="D80" i="7" l="1"/>
  <c r="D80" i="13" s="1"/>
  <c r="N13" i="13"/>
  <c r="O13" i="13"/>
  <c r="O45" i="13"/>
  <c r="O43" i="13" s="1"/>
  <c r="O63" i="13"/>
  <c r="Q63" i="13"/>
  <c r="D107" i="7"/>
  <c r="D82" i="13"/>
  <c r="D108" i="7"/>
  <c r="K128" i="6"/>
  <c r="K96" i="13"/>
  <c r="H96" i="13"/>
  <c r="O96" i="13"/>
  <c r="P96" i="13"/>
  <c r="Q47" i="13"/>
  <c r="Q44" i="13"/>
  <c r="Q43" i="7"/>
  <c r="M46" i="13"/>
  <c r="J96" i="13"/>
  <c r="M96" i="13"/>
  <c r="E80" i="13"/>
  <c r="E79" i="7"/>
  <c r="E106" i="7" s="1"/>
  <c r="E107" i="7"/>
  <c r="G79" i="13"/>
  <c r="D96" i="13"/>
  <c r="N96" i="13"/>
  <c r="I96" i="13"/>
  <c r="AC85" i="6"/>
  <c r="AG85" i="6"/>
  <c r="AH85" i="6" s="1"/>
  <c r="M43" i="7"/>
  <c r="C112" i="7"/>
  <c r="C117" i="7" s="1"/>
  <c r="K132" i="6"/>
  <c r="M63" i="13"/>
  <c r="D84" i="13"/>
  <c r="D109" i="7"/>
  <c r="M47" i="13"/>
  <c r="M44" i="13"/>
  <c r="C113" i="7"/>
  <c r="C118" i="7" s="1"/>
  <c r="G111" i="7"/>
  <c r="C80" i="13"/>
  <c r="C79" i="7"/>
  <c r="C106" i="7" s="1"/>
  <c r="C107" i="7"/>
  <c r="F80" i="13"/>
  <c r="F79" i="7"/>
  <c r="F106" i="7" s="1"/>
  <c r="F107" i="7"/>
  <c r="G117" i="7"/>
  <c r="Q46" i="13"/>
  <c r="N96" i="7"/>
  <c r="I96" i="7"/>
  <c r="C43" i="12"/>
  <c r="C42" i="12"/>
  <c r="E42" i="12"/>
  <c r="D42" i="12"/>
  <c r="B42" i="12"/>
  <c r="C44" i="12"/>
  <c r="D79" i="7" l="1"/>
  <c r="D106" i="7" s="1"/>
  <c r="C111" i="7"/>
  <c r="C116" i="7" s="1"/>
  <c r="C79" i="13"/>
  <c r="G110" i="7"/>
  <c r="G121" i="7"/>
  <c r="C13" i="14"/>
  <c r="Q43" i="13"/>
  <c r="D79" i="13"/>
  <c r="F79" i="13"/>
  <c r="D12" i="7"/>
  <c r="C139" i="6"/>
  <c r="C123" i="7"/>
  <c r="M43" i="13"/>
  <c r="D11" i="7"/>
  <c r="C138" i="6"/>
  <c r="C122" i="7"/>
  <c r="E79" i="13"/>
  <c r="G116" i="7"/>
  <c r="D41" i="7" l="1"/>
  <c r="C153" i="6"/>
  <c r="C148" i="6"/>
  <c r="C152" i="6"/>
  <c r="C147" i="6"/>
  <c r="D42" i="7"/>
  <c r="D13" i="14"/>
  <c r="F13" i="14" s="1"/>
  <c r="C110" i="7"/>
  <c r="D10" i="7"/>
  <c r="C137" i="6"/>
  <c r="C121" i="7"/>
  <c r="C151" i="6" l="1"/>
  <c r="C146" i="6"/>
  <c r="C136" i="6"/>
  <c r="D40" i="7"/>
  <c r="D113" i="7"/>
  <c r="D118" i="7" s="1"/>
  <c r="C156" i="6"/>
  <c r="C160" i="6" s="1"/>
  <c r="C157" i="6"/>
  <c r="C161" i="6" s="1"/>
  <c r="C170" i="6" s="1"/>
  <c r="D112" i="7"/>
  <c r="D9" i="7"/>
  <c r="C95" i="13" l="1"/>
  <c r="C183" i="6"/>
  <c r="C166" i="6"/>
  <c r="C169" i="6"/>
  <c r="C173" i="6"/>
  <c r="C186" i="6" s="1"/>
  <c r="D138" i="6" s="1"/>
  <c r="E11" i="7"/>
  <c r="D122" i="7"/>
  <c r="C145" i="6"/>
  <c r="D117" i="7"/>
  <c r="C174" i="6"/>
  <c r="C187" i="6" s="1"/>
  <c r="D139" i="6" s="1"/>
  <c r="E12" i="7"/>
  <c r="D123" i="7"/>
  <c r="D111" i="7"/>
  <c r="D39" i="7"/>
  <c r="C150" i="6"/>
  <c r="C155" i="6"/>
  <c r="C154" i="6" s="1"/>
  <c r="D152" i="6" l="1"/>
  <c r="D147" i="6"/>
  <c r="D153" i="6"/>
  <c r="D148" i="6"/>
  <c r="D110" i="7"/>
  <c r="E10" i="7"/>
  <c r="E9" i="7" s="1"/>
  <c r="D121" i="7"/>
  <c r="E42" i="7"/>
  <c r="E41" i="7"/>
  <c r="C38" i="13"/>
  <c r="C179" i="6"/>
  <c r="C93" i="13"/>
  <c r="C92" i="13"/>
  <c r="C182" i="6"/>
  <c r="C165" i="6"/>
  <c r="C159" i="6"/>
  <c r="D116" i="7"/>
  <c r="B49" i="12"/>
  <c r="C158" i="6" l="1"/>
  <c r="C172" i="6"/>
  <c r="C168" i="6"/>
  <c r="H94" i="13"/>
  <c r="C109" i="13"/>
  <c r="E112" i="7"/>
  <c r="D157" i="6"/>
  <c r="D161" i="6" s="1"/>
  <c r="C35" i="13"/>
  <c r="C178" i="6"/>
  <c r="C90" i="13"/>
  <c r="C36" i="13"/>
  <c r="E113" i="7"/>
  <c r="E40" i="7"/>
  <c r="D156" i="6"/>
  <c r="D160" i="6" s="1"/>
  <c r="D169" i="6" s="1"/>
  <c r="B19" i="12"/>
  <c r="B48" i="12"/>
  <c r="B64" i="12" l="1"/>
  <c r="D170" i="6"/>
  <c r="D174" i="6"/>
  <c r="D187" i="6" s="1"/>
  <c r="E139" i="6" s="1"/>
  <c r="D92" i="13"/>
  <c r="D182" i="6"/>
  <c r="D165" i="6"/>
  <c r="F12" i="7"/>
  <c r="E123" i="7"/>
  <c r="C33" i="13"/>
  <c r="F11" i="7"/>
  <c r="E122" i="7"/>
  <c r="C89" i="13"/>
  <c r="C181" i="6"/>
  <c r="C180" i="6" s="1"/>
  <c r="C167" i="6"/>
  <c r="C164" i="6"/>
  <c r="E111" i="7"/>
  <c r="E39" i="7"/>
  <c r="H37" i="13"/>
  <c r="C42" i="13"/>
  <c r="H91" i="13"/>
  <c r="C108" i="13"/>
  <c r="C185" i="6"/>
  <c r="C171" i="6"/>
  <c r="E118" i="7"/>
  <c r="D173" i="6"/>
  <c r="D186" i="6" s="1"/>
  <c r="E138" i="6" s="1"/>
  <c r="E117" i="7"/>
  <c r="B18" i="12"/>
  <c r="B63" i="12" l="1"/>
  <c r="E153" i="6"/>
  <c r="E148" i="6"/>
  <c r="E152" i="6"/>
  <c r="E147" i="6"/>
  <c r="C184" i="6"/>
  <c r="D137" i="6"/>
  <c r="C113" i="13"/>
  <c r="E110" i="7"/>
  <c r="F10" i="7"/>
  <c r="E121" i="7"/>
  <c r="C87" i="13"/>
  <c r="H34" i="13"/>
  <c r="C41" i="13"/>
  <c r="F42" i="7"/>
  <c r="C32" i="13"/>
  <c r="C177" i="6"/>
  <c r="C176" i="6" s="1"/>
  <c r="C163" i="6"/>
  <c r="F41" i="7"/>
  <c r="D35" i="13"/>
  <c r="D178" i="6"/>
  <c r="D90" i="13"/>
  <c r="D95" i="13"/>
  <c r="D183" i="6"/>
  <c r="D166" i="6"/>
  <c r="E116" i="7"/>
  <c r="B47" i="12"/>
  <c r="C48" i="12"/>
  <c r="F112" i="7" l="1"/>
  <c r="C30" i="13"/>
  <c r="F113" i="7"/>
  <c r="F118" i="7" s="1"/>
  <c r="H88" i="13"/>
  <c r="C86" i="13"/>
  <c r="C106" i="13" s="1"/>
  <c r="C107" i="13"/>
  <c r="F40" i="7"/>
  <c r="D12" i="13"/>
  <c r="C123" i="13"/>
  <c r="D151" i="6"/>
  <c r="D146" i="6"/>
  <c r="D136" i="6"/>
  <c r="D38" i="13"/>
  <c r="D179" i="6"/>
  <c r="E157" i="6" s="1"/>
  <c r="E161" i="6" s="1"/>
  <c r="D93" i="13"/>
  <c r="I91" i="13"/>
  <c r="D108" i="13"/>
  <c r="D33" i="13"/>
  <c r="C112" i="13"/>
  <c r="C117" i="13" s="1"/>
  <c r="E156" i="6"/>
  <c r="E160" i="6" s="1"/>
  <c r="F9" i="7"/>
  <c r="C118" i="13"/>
  <c r="C18" i="12"/>
  <c r="C49" i="12"/>
  <c r="B17" i="12"/>
  <c r="C63" i="12" l="1"/>
  <c r="B62" i="12"/>
  <c r="E170" i="6"/>
  <c r="E174" i="6"/>
  <c r="E187" i="6" s="1"/>
  <c r="E169" i="6"/>
  <c r="E173" i="6"/>
  <c r="E186" i="6" s="1"/>
  <c r="D150" i="6"/>
  <c r="D155" i="6"/>
  <c r="D154" i="6" s="1"/>
  <c r="F111" i="7"/>
  <c r="F39" i="7"/>
  <c r="L11" i="7"/>
  <c r="F138" i="6"/>
  <c r="F122" i="7"/>
  <c r="D11" i="13"/>
  <c r="C122" i="13"/>
  <c r="I34" i="13"/>
  <c r="I94" i="13"/>
  <c r="D109" i="13"/>
  <c r="D36" i="13"/>
  <c r="D42" i="13" s="1"/>
  <c r="D145" i="6"/>
  <c r="F139" i="6"/>
  <c r="L12" i="7"/>
  <c r="F123" i="7"/>
  <c r="C29" i="13"/>
  <c r="H31" i="13"/>
  <c r="C40" i="13"/>
  <c r="F117" i="7"/>
  <c r="C19" i="12"/>
  <c r="C64" i="12" l="1"/>
  <c r="L42" i="7"/>
  <c r="H12" i="7"/>
  <c r="D113" i="13"/>
  <c r="E12" i="13" s="1"/>
  <c r="I37" i="13"/>
  <c r="L41" i="7"/>
  <c r="H11" i="7"/>
  <c r="F110" i="7"/>
  <c r="L10" i="7"/>
  <c r="F121" i="7"/>
  <c r="E92" i="13"/>
  <c r="E182" i="6"/>
  <c r="E165" i="6"/>
  <c r="E95" i="13"/>
  <c r="E183" i="6"/>
  <c r="E166" i="6"/>
  <c r="D159" i="6"/>
  <c r="C111" i="13"/>
  <c r="C116" i="13" s="1"/>
  <c r="C39" i="13"/>
  <c r="F153" i="6"/>
  <c r="F148" i="6"/>
  <c r="D41" i="13"/>
  <c r="F152" i="6"/>
  <c r="F147" i="6"/>
  <c r="F116" i="7"/>
  <c r="D123" i="13" l="1"/>
  <c r="D158" i="6"/>
  <c r="D168" i="6"/>
  <c r="D172" i="6"/>
  <c r="E35" i="13"/>
  <c r="E178" i="6"/>
  <c r="F156" i="6" s="1"/>
  <c r="F160" i="6" s="1"/>
  <c r="E90" i="13"/>
  <c r="L9" i="7"/>
  <c r="L40" i="7"/>
  <c r="H10" i="7"/>
  <c r="H9" i="7" s="1"/>
  <c r="L82" i="7"/>
  <c r="L84" i="7"/>
  <c r="D112" i="13"/>
  <c r="D117" i="13" s="1"/>
  <c r="C110" i="13"/>
  <c r="D10" i="13"/>
  <c r="C121" i="13"/>
  <c r="E38" i="13"/>
  <c r="E179" i="6"/>
  <c r="F157" i="6" s="1"/>
  <c r="F161" i="6" s="1"/>
  <c r="E93" i="13"/>
  <c r="H41" i="7"/>
  <c r="H42" i="7"/>
  <c r="D118" i="13"/>
  <c r="D49" i="12"/>
  <c r="D48" i="12"/>
  <c r="F170" i="6" l="1"/>
  <c r="F174" i="6"/>
  <c r="F187" i="6" s="1"/>
  <c r="F169" i="6"/>
  <c r="F173" i="6"/>
  <c r="F186" i="6" s="1"/>
  <c r="L82" i="13"/>
  <c r="J82" i="7"/>
  <c r="H82" i="7"/>
  <c r="K82" i="7"/>
  <c r="L108" i="7"/>
  <c r="H40" i="7"/>
  <c r="D185" i="6"/>
  <c r="D171" i="6"/>
  <c r="J94" i="13"/>
  <c r="E109" i="13"/>
  <c r="E36" i="13"/>
  <c r="D9" i="13"/>
  <c r="E11" i="13"/>
  <c r="D122" i="13"/>
  <c r="L84" i="13"/>
  <c r="J84" i="7"/>
  <c r="H84" i="7"/>
  <c r="K84" i="7"/>
  <c r="L109" i="7"/>
  <c r="L80" i="7"/>
  <c r="L39" i="7"/>
  <c r="J91" i="13"/>
  <c r="E108" i="13"/>
  <c r="E33" i="13"/>
  <c r="D89" i="13"/>
  <c r="D181" i="6"/>
  <c r="D180" i="6" s="1"/>
  <c r="D167" i="6"/>
  <c r="D164" i="6"/>
  <c r="D19" i="12"/>
  <c r="D18" i="12"/>
  <c r="I84" i="7" l="1"/>
  <c r="I109" i="7" s="1"/>
  <c r="I82" i="7"/>
  <c r="I82" i="13" s="1"/>
  <c r="D63" i="12"/>
  <c r="D64" i="12"/>
  <c r="I84" i="13"/>
  <c r="D32" i="13"/>
  <c r="D177" i="6"/>
  <c r="D176" i="6" s="1"/>
  <c r="D163" i="6"/>
  <c r="L80" i="13"/>
  <c r="J80" i="7"/>
  <c r="H80" i="7"/>
  <c r="K80" i="7"/>
  <c r="L79" i="7"/>
  <c r="L106" i="7" s="1"/>
  <c r="L107" i="7"/>
  <c r="H84" i="13"/>
  <c r="H109" i="7"/>
  <c r="E41" i="13"/>
  <c r="H39" i="7"/>
  <c r="H82" i="13"/>
  <c r="H108" i="7"/>
  <c r="F92" i="13"/>
  <c r="F182" i="6"/>
  <c r="F165" i="6"/>
  <c r="F95" i="13"/>
  <c r="F183" i="6"/>
  <c r="F166" i="6"/>
  <c r="D87" i="13"/>
  <c r="J34" i="13"/>
  <c r="L113" i="7"/>
  <c r="L123" i="7" s="1"/>
  <c r="K84" i="13"/>
  <c r="K109" i="7"/>
  <c r="J84" i="13"/>
  <c r="J109" i="7"/>
  <c r="J37" i="13"/>
  <c r="E42" i="13"/>
  <c r="D184" i="6"/>
  <c r="E137" i="6"/>
  <c r="L112" i="7"/>
  <c r="L122" i="7" s="1"/>
  <c r="K82" i="13"/>
  <c r="K108" i="7"/>
  <c r="J82" i="13"/>
  <c r="J108" i="7"/>
  <c r="C47" i="12"/>
  <c r="H43" i="12"/>
  <c r="I44" i="12"/>
  <c r="I43" i="12"/>
  <c r="J43" i="12"/>
  <c r="H44" i="12"/>
  <c r="G44" i="12"/>
  <c r="J44" i="12"/>
  <c r="G43" i="12"/>
  <c r="I108" i="7" l="1"/>
  <c r="I80" i="7"/>
  <c r="I80" i="13" s="1"/>
  <c r="D86" i="13"/>
  <c r="D106" i="13" s="1"/>
  <c r="I88" i="13"/>
  <c r="D107" i="13"/>
  <c r="F35" i="13"/>
  <c r="F178" i="6"/>
  <c r="F90" i="13"/>
  <c r="G92" i="13"/>
  <c r="G90" i="13" s="1"/>
  <c r="G108" i="13" s="1"/>
  <c r="H112" i="7"/>
  <c r="H113" i="7"/>
  <c r="K80" i="13"/>
  <c r="K79" i="7"/>
  <c r="K106" i="7" s="1"/>
  <c r="K107" i="7"/>
  <c r="J80" i="13"/>
  <c r="J79" i="7"/>
  <c r="J106" i="7" s="1"/>
  <c r="J107" i="7"/>
  <c r="D30" i="13"/>
  <c r="E113" i="13"/>
  <c r="E151" i="6"/>
  <c r="E146" i="6"/>
  <c r="E136" i="6"/>
  <c r="F38" i="13"/>
  <c r="F179" i="6"/>
  <c r="F93" i="13"/>
  <c r="G95" i="13"/>
  <c r="G93" i="13" s="1"/>
  <c r="G109" i="13" s="1"/>
  <c r="E112" i="13"/>
  <c r="E117" i="13" s="1"/>
  <c r="L111" i="7"/>
  <c r="L116" i="7" s="1"/>
  <c r="H80" i="13"/>
  <c r="H79" i="7"/>
  <c r="H106" i="7" s="1"/>
  <c r="H107" i="7"/>
  <c r="L79" i="13"/>
  <c r="L117" i="7"/>
  <c r="L118" i="7"/>
  <c r="H42" i="12"/>
  <c r="C17" i="12"/>
  <c r="E49" i="12"/>
  <c r="J42" i="12"/>
  <c r="G42" i="12"/>
  <c r="E48" i="12"/>
  <c r="I42" i="12"/>
  <c r="I79" i="7" l="1"/>
  <c r="I106" i="7" s="1"/>
  <c r="I107" i="7"/>
  <c r="C62" i="12"/>
  <c r="E150" i="6"/>
  <c r="E155" i="6"/>
  <c r="E154" i="6" s="1"/>
  <c r="F12" i="13"/>
  <c r="E123" i="13"/>
  <c r="J79" i="13"/>
  <c r="I12" i="7"/>
  <c r="G139" i="6"/>
  <c r="H123" i="7"/>
  <c r="I11" i="7"/>
  <c r="G138" i="6"/>
  <c r="H122" i="7"/>
  <c r="I79" i="13"/>
  <c r="H111" i="7"/>
  <c r="H79" i="13"/>
  <c r="L110" i="7"/>
  <c r="L121" i="7"/>
  <c r="F11" i="13"/>
  <c r="E122" i="13"/>
  <c r="K94" i="13"/>
  <c r="F109" i="13"/>
  <c r="F36" i="13"/>
  <c r="G38" i="13"/>
  <c r="G36" i="13" s="1"/>
  <c r="E145" i="6"/>
  <c r="I31" i="13"/>
  <c r="D29" i="13"/>
  <c r="D40" i="13"/>
  <c r="K79" i="13"/>
  <c r="K91" i="13"/>
  <c r="F108" i="13"/>
  <c r="F33" i="13"/>
  <c r="G35" i="13"/>
  <c r="G33" i="13" s="1"/>
  <c r="E118" i="13"/>
  <c r="H118" i="7"/>
  <c r="H117" i="7"/>
  <c r="E19" i="12"/>
  <c r="E18" i="12"/>
  <c r="E64" i="12" l="1"/>
  <c r="E63" i="12"/>
  <c r="G41" i="13"/>
  <c r="D111" i="13"/>
  <c r="D39" i="13"/>
  <c r="K37" i="13"/>
  <c r="L94" i="13"/>
  <c r="F41" i="13"/>
  <c r="H110" i="7"/>
  <c r="I10" i="7"/>
  <c r="I9" i="7" s="1"/>
  <c r="H121" i="7"/>
  <c r="G152" i="6"/>
  <c r="G147" i="6"/>
  <c r="I42" i="7"/>
  <c r="F42" i="13"/>
  <c r="K34" i="13"/>
  <c r="L91" i="13"/>
  <c r="G42" i="13"/>
  <c r="I41" i="7"/>
  <c r="G153" i="6"/>
  <c r="G148" i="6"/>
  <c r="H116" i="7"/>
  <c r="E159" i="6"/>
  <c r="E158" i="6" l="1"/>
  <c r="E168" i="6"/>
  <c r="E172" i="6"/>
  <c r="G157" i="6"/>
  <c r="G161" i="6" s="1"/>
  <c r="I112" i="7"/>
  <c r="G113" i="13"/>
  <c r="G123" i="13" s="1"/>
  <c r="L34" i="13"/>
  <c r="I113" i="7"/>
  <c r="I118" i="7" s="1"/>
  <c r="D110" i="13"/>
  <c r="E10" i="13"/>
  <c r="D121" i="13"/>
  <c r="F113" i="13"/>
  <c r="F118" i="13" s="1"/>
  <c r="G156" i="6"/>
  <c r="G160" i="6" s="1"/>
  <c r="I40" i="7"/>
  <c r="F112" i="13"/>
  <c r="L37" i="13"/>
  <c r="G112" i="13"/>
  <c r="G122" i="13" s="1"/>
  <c r="D116" i="13"/>
  <c r="G117" i="13" l="1"/>
  <c r="G173" i="6"/>
  <c r="G186" i="6" s="1"/>
  <c r="G169" i="6"/>
  <c r="G174" i="6"/>
  <c r="G187" i="6" s="1"/>
  <c r="H139" i="6" s="1"/>
  <c r="G170" i="6"/>
  <c r="I111" i="7"/>
  <c r="I39" i="7"/>
  <c r="E9" i="13"/>
  <c r="J11" i="7"/>
  <c r="H138" i="6"/>
  <c r="I122" i="7"/>
  <c r="E185" i="6"/>
  <c r="E171" i="6"/>
  <c r="L11" i="13"/>
  <c r="F122" i="13"/>
  <c r="L12" i="13"/>
  <c r="F123" i="13"/>
  <c r="J12" i="7"/>
  <c r="I123" i="7"/>
  <c r="E89" i="13"/>
  <c r="E181" i="6"/>
  <c r="E180" i="6" s="1"/>
  <c r="E167" i="6"/>
  <c r="E164" i="6"/>
  <c r="F117" i="13"/>
  <c r="G118" i="13"/>
  <c r="I117" i="7"/>
  <c r="J42" i="7" l="1"/>
  <c r="J41" i="7"/>
  <c r="I110" i="7"/>
  <c r="J10" i="7"/>
  <c r="I121" i="7"/>
  <c r="E87" i="13"/>
  <c r="E32" i="13"/>
  <c r="E177" i="6"/>
  <c r="E176" i="6" s="1"/>
  <c r="E163" i="6"/>
  <c r="H153" i="6"/>
  <c r="H148" i="6"/>
  <c r="H12" i="13"/>
  <c r="H11" i="13"/>
  <c r="E184" i="6"/>
  <c r="F137" i="6"/>
  <c r="H152" i="6"/>
  <c r="H147" i="6"/>
  <c r="H95" i="13"/>
  <c r="G183" i="6"/>
  <c r="G166" i="6"/>
  <c r="H92" i="13"/>
  <c r="G182" i="6"/>
  <c r="G165" i="6"/>
  <c r="I116" i="7"/>
  <c r="D47" i="12"/>
  <c r="H38" i="13" l="1"/>
  <c r="G179" i="6"/>
  <c r="H157" i="6" s="1"/>
  <c r="H161" i="6" s="1"/>
  <c r="H93" i="13"/>
  <c r="F151" i="6"/>
  <c r="F146" i="6"/>
  <c r="F136" i="6"/>
  <c r="J112" i="7"/>
  <c r="J113" i="7"/>
  <c r="J118" i="7" s="1"/>
  <c r="H35" i="13"/>
  <c r="G178" i="6"/>
  <c r="H156" i="6" s="1"/>
  <c r="H160" i="6" s="1"/>
  <c r="H90" i="13"/>
  <c r="E30" i="13"/>
  <c r="J88" i="13"/>
  <c r="E86" i="13"/>
  <c r="E106" i="13" s="1"/>
  <c r="E107" i="13"/>
  <c r="J40" i="7"/>
  <c r="J9" i="7"/>
  <c r="D17" i="12"/>
  <c r="G48" i="12"/>
  <c r="G49" i="12"/>
  <c r="D62" i="12" l="1"/>
  <c r="H170" i="6"/>
  <c r="H174" i="6"/>
  <c r="H187" i="6" s="1"/>
  <c r="I139" i="6" s="1"/>
  <c r="H169" i="6"/>
  <c r="H173" i="6"/>
  <c r="H186" i="6" s="1"/>
  <c r="M91" i="13"/>
  <c r="H108" i="13"/>
  <c r="K11" i="7"/>
  <c r="I138" i="6"/>
  <c r="J122" i="7"/>
  <c r="F145" i="6"/>
  <c r="H36" i="13"/>
  <c r="J111" i="7"/>
  <c r="J116" i="7" s="1"/>
  <c r="J39" i="7"/>
  <c r="E29" i="13"/>
  <c r="J31" i="13"/>
  <c r="E40" i="13"/>
  <c r="H33" i="13"/>
  <c r="K12" i="7"/>
  <c r="J123" i="7"/>
  <c r="F150" i="6"/>
  <c r="F155" i="6"/>
  <c r="F154" i="6" s="1"/>
  <c r="M94" i="13"/>
  <c r="H109" i="13"/>
  <c r="J117" i="7"/>
  <c r="G19" i="12"/>
  <c r="G18" i="12"/>
  <c r="G63" i="12" l="1"/>
  <c r="G64" i="12"/>
  <c r="I153" i="6"/>
  <c r="I148" i="6"/>
  <c r="M34" i="13"/>
  <c r="H41" i="13"/>
  <c r="E111" i="13"/>
  <c r="E116" i="13" s="1"/>
  <c r="E39" i="13"/>
  <c r="M37" i="13"/>
  <c r="H42" i="13"/>
  <c r="I152" i="6"/>
  <c r="I147" i="6"/>
  <c r="F159" i="6"/>
  <c r="K42" i="7"/>
  <c r="J110" i="7"/>
  <c r="K10" i="7"/>
  <c r="J121" i="7"/>
  <c r="K41" i="7"/>
  <c r="I92" i="13"/>
  <c r="H182" i="6"/>
  <c r="H165" i="6"/>
  <c r="I95" i="13"/>
  <c r="H183" i="6"/>
  <c r="H166" i="6"/>
  <c r="I38" i="13" l="1"/>
  <c r="H179" i="6"/>
  <c r="I157" i="6" s="1"/>
  <c r="I161" i="6" s="1"/>
  <c r="I35" i="13"/>
  <c r="H178" i="6"/>
  <c r="I90" i="13"/>
  <c r="K113" i="7"/>
  <c r="H112" i="13"/>
  <c r="H117" i="13" s="1"/>
  <c r="I93" i="13"/>
  <c r="K112" i="7"/>
  <c r="K40" i="7"/>
  <c r="F158" i="6"/>
  <c r="F172" i="6"/>
  <c r="F168" i="6"/>
  <c r="I156" i="6"/>
  <c r="I160" i="6" s="1"/>
  <c r="H113" i="13"/>
  <c r="E110" i="13"/>
  <c r="F10" i="13"/>
  <c r="E121" i="13"/>
  <c r="K9" i="7"/>
  <c r="H48" i="12"/>
  <c r="H49" i="12"/>
  <c r="I169" i="6" l="1"/>
  <c r="I173" i="6"/>
  <c r="I186" i="6" s="1"/>
  <c r="J138" i="6" s="1"/>
  <c r="I170" i="6"/>
  <c r="I174" i="6"/>
  <c r="I187" i="6" s="1"/>
  <c r="J139" i="6" s="1"/>
  <c r="I12" i="13"/>
  <c r="H123" i="13"/>
  <c r="F185" i="6"/>
  <c r="F171" i="6"/>
  <c r="K111" i="7"/>
  <c r="K39" i="7"/>
  <c r="Q11" i="7"/>
  <c r="K122" i="7"/>
  <c r="Q12" i="7"/>
  <c r="K123" i="7"/>
  <c r="N91" i="13"/>
  <c r="I108" i="13"/>
  <c r="I33" i="13"/>
  <c r="I36" i="13"/>
  <c r="F9" i="13"/>
  <c r="F89" i="13"/>
  <c r="F181" i="6"/>
  <c r="F180" i="6" s="1"/>
  <c r="F167" i="6"/>
  <c r="F164" i="6"/>
  <c r="N94" i="13"/>
  <c r="I109" i="13"/>
  <c r="I11" i="13"/>
  <c r="H122" i="13"/>
  <c r="H118" i="13"/>
  <c r="K117" i="7"/>
  <c r="K118" i="7"/>
  <c r="H19" i="12"/>
  <c r="H18" i="12"/>
  <c r="H64" i="12" l="1"/>
  <c r="H63" i="12"/>
  <c r="I41" i="13"/>
  <c r="F87" i="13"/>
  <c r="G89" i="13"/>
  <c r="G87" i="13" s="1"/>
  <c r="Q42" i="7"/>
  <c r="M12" i="7"/>
  <c r="Q41" i="7"/>
  <c r="M11" i="7"/>
  <c r="K110" i="7"/>
  <c r="Q10" i="7"/>
  <c r="K121" i="7"/>
  <c r="F184" i="6"/>
  <c r="G137" i="6"/>
  <c r="I42" i="13"/>
  <c r="J95" i="13"/>
  <c r="I183" i="6"/>
  <c r="I166" i="6"/>
  <c r="J92" i="13"/>
  <c r="I182" i="6"/>
  <c r="I165" i="6"/>
  <c r="F32" i="13"/>
  <c r="F177" i="6"/>
  <c r="F176" i="6" s="1"/>
  <c r="F163" i="6"/>
  <c r="N37" i="13"/>
  <c r="N34" i="13"/>
  <c r="J153" i="6"/>
  <c r="J148" i="6"/>
  <c r="J152" i="6"/>
  <c r="J147" i="6"/>
  <c r="K116" i="7"/>
  <c r="E47" i="12"/>
  <c r="F30" i="13" l="1"/>
  <c r="G32" i="13"/>
  <c r="G30" i="13" s="1"/>
  <c r="J38" i="13"/>
  <c r="I179" i="6"/>
  <c r="J157" i="6" s="1"/>
  <c r="J161" i="6" s="1"/>
  <c r="J93" i="13"/>
  <c r="Q82" i="7"/>
  <c r="M42" i="7"/>
  <c r="F86" i="13"/>
  <c r="F106" i="13" s="1"/>
  <c r="K88" i="13"/>
  <c r="F107" i="13"/>
  <c r="J35" i="13"/>
  <c r="I178" i="6"/>
  <c r="J156" i="6" s="1"/>
  <c r="J160" i="6" s="1"/>
  <c r="J90" i="13"/>
  <c r="I113" i="13"/>
  <c r="G151" i="6"/>
  <c r="G146" i="6"/>
  <c r="G136" i="6"/>
  <c r="Q40" i="7"/>
  <c r="M10" i="7"/>
  <c r="Q9" i="7"/>
  <c r="M41" i="7"/>
  <c r="Q84" i="7"/>
  <c r="G86" i="13"/>
  <c r="G107" i="13"/>
  <c r="I112" i="13"/>
  <c r="I49" i="12"/>
  <c r="I48" i="12"/>
  <c r="E17" i="12"/>
  <c r="E62" i="12" l="1"/>
  <c r="J173" i="6"/>
  <c r="J186" i="6" s="1"/>
  <c r="J169" i="6"/>
  <c r="J170" i="6"/>
  <c r="J174" i="6"/>
  <c r="J187" i="6" s="1"/>
  <c r="J11" i="13"/>
  <c r="I122" i="13"/>
  <c r="Q80" i="7"/>
  <c r="Q39" i="7"/>
  <c r="G150" i="6"/>
  <c r="G155" i="6"/>
  <c r="G154" i="6" s="1"/>
  <c r="J12" i="13"/>
  <c r="I123" i="13"/>
  <c r="Q82" i="13"/>
  <c r="P82" i="7"/>
  <c r="O82" i="7"/>
  <c r="M82" i="7"/>
  <c r="Q108" i="7"/>
  <c r="O94" i="13"/>
  <c r="J109" i="13"/>
  <c r="J36" i="13"/>
  <c r="K31" i="13"/>
  <c r="F29" i="13"/>
  <c r="F40" i="13"/>
  <c r="C14" i="14"/>
  <c r="G106" i="13"/>
  <c r="Q84" i="13"/>
  <c r="P84" i="7"/>
  <c r="O84" i="7"/>
  <c r="M84" i="7"/>
  <c r="Q109" i="7"/>
  <c r="M40" i="7"/>
  <c r="G145" i="6"/>
  <c r="O91" i="13"/>
  <c r="J108" i="13"/>
  <c r="J33" i="13"/>
  <c r="L88" i="13"/>
  <c r="G29" i="13"/>
  <c r="C8" i="14" s="1"/>
  <c r="G40" i="13"/>
  <c r="I117" i="13"/>
  <c r="I118" i="13"/>
  <c r="M9" i="7"/>
  <c r="I18" i="12"/>
  <c r="I19" i="12"/>
  <c r="I63" i="12" l="1"/>
  <c r="I64" i="12"/>
  <c r="Q113" i="7"/>
  <c r="Q123" i="7" s="1"/>
  <c r="O84" i="13"/>
  <c r="O109" i="7"/>
  <c r="P84" i="13"/>
  <c r="P109" i="7"/>
  <c r="F111" i="13"/>
  <c r="F39" i="13"/>
  <c r="M82" i="13"/>
  <c r="M108" i="7"/>
  <c r="J42" i="13"/>
  <c r="K92" i="13"/>
  <c r="J182" i="6"/>
  <c r="J165" i="6"/>
  <c r="N82" i="7"/>
  <c r="G111" i="13"/>
  <c r="G39" i="13"/>
  <c r="D8" i="14"/>
  <c r="F8" i="14" s="1"/>
  <c r="C5" i="14"/>
  <c r="D5" i="14" s="1"/>
  <c r="F5" i="14" s="1"/>
  <c r="O34" i="13"/>
  <c r="M39" i="7"/>
  <c r="M84" i="13"/>
  <c r="M109" i="7"/>
  <c r="D14" i="14"/>
  <c r="F14" i="14" s="1"/>
  <c r="C9" i="14"/>
  <c r="D9" i="14" s="1"/>
  <c r="F9" i="14" s="1"/>
  <c r="L31" i="13"/>
  <c r="O37" i="13"/>
  <c r="Q112" i="7"/>
  <c r="Q122" i="7" s="1"/>
  <c r="O82" i="13"/>
  <c r="O108" i="7"/>
  <c r="P82" i="13"/>
  <c r="P108" i="7"/>
  <c r="Q80" i="13"/>
  <c r="P80" i="7"/>
  <c r="Q79" i="7"/>
  <c r="Q106" i="7" s="1"/>
  <c r="O80" i="7"/>
  <c r="M80" i="7"/>
  <c r="Q107" i="7"/>
  <c r="J41" i="13"/>
  <c r="K95" i="13"/>
  <c r="J183" i="6"/>
  <c r="J166" i="6"/>
  <c r="N84" i="7"/>
  <c r="G159" i="6"/>
  <c r="N43" i="12"/>
  <c r="L43" i="12"/>
  <c r="N44" i="12"/>
  <c r="O43" i="12"/>
  <c r="O44" i="12"/>
  <c r="L44" i="12"/>
  <c r="N80" i="7" l="1"/>
  <c r="N80" i="13" s="1"/>
  <c r="K38" i="13"/>
  <c r="J179" i="6"/>
  <c r="K93" i="13"/>
  <c r="L95" i="13"/>
  <c r="L93" i="13" s="1"/>
  <c r="L109" i="13" s="1"/>
  <c r="Q111" i="7"/>
  <c r="Q116" i="7" s="1"/>
  <c r="O80" i="13"/>
  <c r="O79" i="7"/>
  <c r="O106" i="7" s="1"/>
  <c r="O107" i="7"/>
  <c r="Q79" i="13"/>
  <c r="G110" i="13"/>
  <c r="C16" i="14" s="1"/>
  <c r="D16" i="14" s="1"/>
  <c r="F16" i="14" s="1"/>
  <c r="G121" i="13"/>
  <c r="N82" i="13"/>
  <c r="N108" i="7"/>
  <c r="K35" i="13"/>
  <c r="J178" i="6"/>
  <c r="K90" i="13"/>
  <c r="L92" i="13"/>
  <c r="L90" i="13" s="1"/>
  <c r="L108" i="13" s="1"/>
  <c r="M112" i="7"/>
  <c r="F110" i="13"/>
  <c r="L10" i="13"/>
  <c r="F121" i="13"/>
  <c r="G158" i="6"/>
  <c r="G168" i="6"/>
  <c r="G172" i="6"/>
  <c r="N84" i="13"/>
  <c r="N109" i="7"/>
  <c r="J112" i="13"/>
  <c r="M80" i="13"/>
  <c r="M79" i="7"/>
  <c r="M106" i="7" s="1"/>
  <c r="M107" i="7"/>
  <c r="P80" i="13"/>
  <c r="P79" i="7"/>
  <c r="P106" i="7" s="1"/>
  <c r="P107" i="7"/>
  <c r="M113" i="7"/>
  <c r="M118" i="7" s="1"/>
  <c r="J113" i="13"/>
  <c r="Q117" i="7"/>
  <c r="G116" i="13"/>
  <c r="F116" i="13"/>
  <c r="Q118" i="7"/>
  <c r="M42" i="12"/>
  <c r="L42" i="12"/>
  <c r="O42" i="12"/>
  <c r="M43" i="12"/>
  <c r="M44" i="12"/>
  <c r="J49" i="12"/>
  <c r="N42" i="12"/>
  <c r="J48" i="12"/>
  <c r="N79" i="7" l="1"/>
  <c r="N106" i="7" s="1"/>
  <c r="N107" i="7"/>
  <c r="K12" i="13"/>
  <c r="J123" i="13"/>
  <c r="K11" i="13"/>
  <c r="J122" i="13"/>
  <c r="G185" i="6"/>
  <c r="G171" i="6"/>
  <c r="H10" i="13"/>
  <c r="L9" i="13"/>
  <c r="N11" i="7"/>
  <c r="K138" i="6"/>
  <c r="M122" i="7"/>
  <c r="N79" i="13"/>
  <c r="N12" i="7"/>
  <c r="K139" i="6"/>
  <c r="M123" i="7"/>
  <c r="P79" i="13"/>
  <c r="M111" i="7"/>
  <c r="M116" i="7" s="1"/>
  <c r="M79" i="13"/>
  <c r="H89" i="13"/>
  <c r="G181" i="6"/>
  <c r="G180" i="6" s="1"/>
  <c r="G167" i="6"/>
  <c r="G164" i="6"/>
  <c r="P91" i="13"/>
  <c r="K108" i="13"/>
  <c r="K33" i="13"/>
  <c r="L35" i="13"/>
  <c r="L33" i="13" s="1"/>
  <c r="O79" i="13"/>
  <c r="Q110" i="7"/>
  <c r="Q121" i="7"/>
  <c r="P94" i="13"/>
  <c r="K109" i="13"/>
  <c r="K36" i="13"/>
  <c r="L38" i="13"/>
  <c r="L36" i="13" s="1"/>
  <c r="J118" i="13"/>
  <c r="J117" i="13"/>
  <c r="M117" i="7"/>
  <c r="J18" i="12"/>
  <c r="J19" i="12"/>
  <c r="J63" i="12" l="1"/>
  <c r="J64" i="12"/>
  <c r="L42" i="13"/>
  <c r="P34" i="13"/>
  <c r="Q91" i="13"/>
  <c r="H87" i="13"/>
  <c r="N42" i="7"/>
  <c r="N41" i="7"/>
  <c r="H9" i="13"/>
  <c r="G184" i="6"/>
  <c r="H137" i="6"/>
  <c r="K41" i="13"/>
  <c r="K42" i="13"/>
  <c r="P37" i="13"/>
  <c r="Q94" i="13"/>
  <c r="L41" i="13"/>
  <c r="H32" i="13"/>
  <c r="G177" i="6"/>
  <c r="G176" i="6" s="1"/>
  <c r="G163" i="6"/>
  <c r="M110" i="7"/>
  <c r="N10" i="7"/>
  <c r="M121" i="7"/>
  <c r="K153" i="6"/>
  <c r="K148" i="6"/>
  <c r="K152" i="6"/>
  <c r="K147" i="6"/>
  <c r="G47" i="12"/>
  <c r="K157" i="6" l="1"/>
  <c r="K161" i="6" s="1"/>
  <c r="N40" i="7"/>
  <c r="H30" i="13"/>
  <c r="L112" i="13"/>
  <c r="L122" i="13" s="1"/>
  <c r="K113" i="13"/>
  <c r="K118" i="13" s="1"/>
  <c r="K112" i="13"/>
  <c r="K117" i="13" s="1"/>
  <c r="H151" i="6"/>
  <c r="H146" i="6"/>
  <c r="H136" i="6"/>
  <c r="H86" i="13"/>
  <c r="H106" i="13" s="1"/>
  <c r="M88" i="13"/>
  <c r="H107" i="13"/>
  <c r="Q34" i="13"/>
  <c r="N9" i="7"/>
  <c r="K156" i="6"/>
  <c r="K160" i="6" s="1"/>
  <c r="Q37" i="13"/>
  <c r="N112" i="7"/>
  <c r="N117" i="7" s="1"/>
  <c r="N113" i="7"/>
  <c r="L113" i="13"/>
  <c r="L123" i="13" s="1"/>
  <c r="G17" i="12"/>
  <c r="L118" i="13" l="1"/>
  <c r="G62" i="12"/>
  <c r="K174" i="6"/>
  <c r="K187" i="6" s="1"/>
  <c r="L139" i="6" s="1"/>
  <c r="K170" i="6"/>
  <c r="K169" i="6"/>
  <c r="K173" i="6"/>
  <c r="K186" i="6" s="1"/>
  <c r="L138" i="6" s="1"/>
  <c r="O12" i="7"/>
  <c r="N123" i="7"/>
  <c r="H145" i="6"/>
  <c r="Q11" i="13"/>
  <c r="K122" i="13"/>
  <c r="L117" i="13"/>
  <c r="O11" i="7"/>
  <c r="N122" i="7"/>
  <c r="H150" i="6"/>
  <c r="H155" i="6"/>
  <c r="H154" i="6" s="1"/>
  <c r="Q12" i="13"/>
  <c r="K123" i="13"/>
  <c r="M31" i="13"/>
  <c r="H29" i="13"/>
  <c r="H40" i="13"/>
  <c r="N111" i="7"/>
  <c r="N39" i="7"/>
  <c r="N118" i="7"/>
  <c r="N110" i="7" l="1"/>
  <c r="O10" i="7"/>
  <c r="N121" i="7"/>
  <c r="O41" i="7"/>
  <c r="L153" i="6"/>
  <c r="L148" i="6"/>
  <c r="M95" i="13"/>
  <c r="K183" i="6"/>
  <c r="K166" i="6"/>
  <c r="H159" i="6"/>
  <c r="H111" i="13"/>
  <c r="H39" i="13"/>
  <c r="M12" i="13"/>
  <c r="L152" i="6"/>
  <c r="L147" i="6"/>
  <c r="M11" i="13"/>
  <c r="O42" i="7"/>
  <c r="O9" i="7"/>
  <c r="M92" i="13"/>
  <c r="K182" i="6"/>
  <c r="K165" i="6"/>
  <c r="N116" i="7"/>
  <c r="H110" i="13" l="1"/>
  <c r="I10" i="13"/>
  <c r="H121" i="13"/>
  <c r="H158" i="6"/>
  <c r="H172" i="6"/>
  <c r="H168" i="6"/>
  <c r="M35" i="13"/>
  <c r="K178" i="6"/>
  <c r="L156" i="6" s="1"/>
  <c r="L160" i="6" s="1"/>
  <c r="L169" i="6" s="1"/>
  <c r="M90" i="13"/>
  <c r="O113" i="7"/>
  <c r="M38" i="13"/>
  <c r="K179" i="6"/>
  <c r="L157" i="6" s="1"/>
  <c r="L161" i="6" s="1"/>
  <c r="L174" i="6" s="1"/>
  <c r="L187" i="6" s="1"/>
  <c r="M93" i="13"/>
  <c r="O112" i="7"/>
  <c r="O117" i="7" s="1"/>
  <c r="O40" i="7"/>
  <c r="H116" i="13"/>
  <c r="L48" i="12"/>
  <c r="L49" i="12"/>
  <c r="N92" i="13" l="1"/>
  <c r="L182" i="6"/>
  <c r="L165" i="6"/>
  <c r="M36" i="13"/>
  <c r="P12" i="7"/>
  <c r="M139" i="6"/>
  <c r="O123" i="7"/>
  <c r="M33" i="13"/>
  <c r="H185" i="6"/>
  <c r="H171" i="6"/>
  <c r="L173" i="6"/>
  <c r="L186" i="6" s="1"/>
  <c r="M138" i="6" s="1"/>
  <c r="L170" i="6"/>
  <c r="O111" i="7"/>
  <c r="O39" i="7"/>
  <c r="P11" i="7"/>
  <c r="O122" i="7"/>
  <c r="M109" i="13"/>
  <c r="M108" i="13"/>
  <c r="I89" i="13"/>
  <c r="H181" i="6"/>
  <c r="H180" i="6" s="1"/>
  <c r="H167" i="6"/>
  <c r="H164" i="6"/>
  <c r="I9" i="13"/>
  <c r="O118" i="7"/>
  <c r="L19" i="12"/>
  <c r="L18" i="12"/>
  <c r="L64" i="12" l="1"/>
  <c r="L63" i="12"/>
  <c r="I87" i="13"/>
  <c r="M152" i="6"/>
  <c r="M147" i="6"/>
  <c r="O110" i="7"/>
  <c r="P10" i="7"/>
  <c r="P9" i="7" s="1"/>
  <c r="O121" i="7"/>
  <c r="H184" i="6"/>
  <c r="I137" i="6"/>
  <c r="M153" i="6"/>
  <c r="M148" i="6"/>
  <c r="M42" i="13"/>
  <c r="N35" i="13"/>
  <c r="L178" i="6"/>
  <c r="N90" i="13"/>
  <c r="I32" i="13"/>
  <c r="H177" i="6"/>
  <c r="H176" i="6" s="1"/>
  <c r="H163" i="6"/>
  <c r="P41" i="7"/>
  <c r="N95" i="13"/>
  <c r="L183" i="6"/>
  <c r="L166" i="6"/>
  <c r="M41" i="13"/>
  <c r="P42" i="7"/>
  <c r="O116" i="7"/>
  <c r="M48" i="12"/>
  <c r="H47" i="12"/>
  <c r="P113" i="7" l="1"/>
  <c r="P118" i="7" s="1"/>
  <c r="M112" i="13"/>
  <c r="P112" i="7"/>
  <c r="I30" i="13"/>
  <c r="N108" i="13"/>
  <c r="N33" i="13"/>
  <c r="M113" i="13"/>
  <c r="I151" i="6"/>
  <c r="I146" i="6"/>
  <c r="I136" i="6"/>
  <c r="P40" i="7"/>
  <c r="N88" i="13"/>
  <c r="I86" i="13"/>
  <c r="I106" i="13" s="1"/>
  <c r="I107" i="13"/>
  <c r="N38" i="13"/>
  <c r="L179" i="6"/>
  <c r="M157" i="6" s="1"/>
  <c r="M161" i="6" s="1"/>
  <c r="N93" i="13"/>
  <c r="M156" i="6"/>
  <c r="M160" i="6" s="1"/>
  <c r="M169" i="6" s="1"/>
  <c r="M18" i="12"/>
  <c r="H17" i="12"/>
  <c r="M49" i="12"/>
  <c r="H62" i="12" l="1"/>
  <c r="M63" i="12"/>
  <c r="O92" i="13"/>
  <c r="M182" i="6"/>
  <c r="M165" i="6"/>
  <c r="M170" i="6"/>
  <c r="M174" i="6"/>
  <c r="M187" i="6" s="1"/>
  <c r="N139" i="6" s="1"/>
  <c r="N36" i="13"/>
  <c r="P111" i="7"/>
  <c r="P39" i="7"/>
  <c r="I150" i="6"/>
  <c r="I155" i="6"/>
  <c r="I154" i="6" s="1"/>
  <c r="N12" i="13"/>
  <c r="M123" i="13"/>
  <c r="I29" i="13"/>
  <c r="N31" i="13"/>
  <c r="I40" i="13"/>
  <c r="P122" i="7"/>
  <c r="N11" i="13"/>
  <c r="M122" i="13"/>
  <c r="M173" i="6"/>
  <c r="M186" i="6" s="1"/>
  <c r="N138" i="6" s="1"/>
  <c r="N109" i="13"/>
  <c r="I145" i="6"/>
  <c r="P123" i="7"/>
  <c r="M118" i="13"/>
  <c r="P117" i="7"/>
  <c r="M117" i="13"/>
  <c r="M19" i="12"/>
  <c r="M64" i="12" l="1"/>
  <c r="N152" i="6"/>
  <c r="N147" i="6"/>
  <c r="I111" i="13"/>
  <c r="I116" i="13" s="1"/>
  <c r="I39" i="13"/>
  <c r="P110" i="7"/>
  <c r="P121" i="7"/>
  <c r="O35" i="13"/>
  <c r="M178" i="6"/>
  <c r="O90" i="13"/>
  <c r="I159" i="6"/>
  <c r="N153" i="6"/>
  <c r="N148" i="6"/>
  <c r="N41" i="13"/>
  <c r="N42" i="13"/>
  <c r="O95" i="13"/>
  <c r="M183" i="6"/>
  <c r="M166" i="6"/>
  <c r="P116" i="7"/>
  <c r="N48" i="12"/>
  <c r="N113" i="13" l="1"/>
  <c r="N112" i="13"/>
  <c r="N117" i="13" s="1"/>
  <c r="I158" i="6"/>
  <c r="I168" i="6"/>
  <c r="I172" i="6"/>
  <c r="O108" i="13"/>
  <c r="O33" i="13"/>
  <c r="N156" i="6"/>
  <c r="N160" i="6" s="1"/>
  <c r="O38" i="13"/>
  <c r="M179" i="6"/>
  <c r="N157" i="6" s="1"/>
  <c r="N161" i="6" s="1"/>
  <c r="N170" i="6" s="1"/>
  <c r="O93" i="13"/>
  <c r="I110" i="13"/>
  <c r="J10" i="13"/>
  <c r="I121" i="13"/>
  <c r="N18" i="12"/>
  <c r="N49" i="12"/>
  <c r="N169" i="6" l="1"/>
  <c r="N165" i="6" s="1"/>
  <c r="P35" i="13" s="1"/>
  <c r="N173" i="6"/>
  <c r="N186" i="6" s="1"/>
  <c r="N63" i="12"/>
  <c r="P95" i="13"/>
  <c r="N183" i="6"/>
  <c r="N166" i="6"/>
  <c r="O109" i="13"/>
  <c r="O36" i="13"/>
  <c r="I185" i="6"/>
  <c r="I171" i="6"/>
  <c r="O12" i="13"/>
  <c r="N123" i="13"/>
  <c r="N174" i="6"/>
  <c r="N187" i="6" s="1"/>
  <c r="J9" i="13"/>
  <c r="J89" i="13"/>
  <c r="I181" i="6"/>
  <c r="I180" i="6" s="1"/>
  <c r="I167" i="6"/>
  <c r="I164" i="6"/>
  <c r="O11" i="13"/>
  <c r="N122" i="13"/>
  <c r="N118" i="13"/>
  <c r="N19" i="12"/>
  <c r="N182" i="6" l="1"/>
  <c r="N178" i="6"/>
  <c r="P92" i="13"/>
  <c r="Q92" i="13" s="1"/>
  <c r="Q90" i="13" s="1"/>
  <c r="Q108" i="13" s="1"/>
  <c r="N64" i="12"/>
  <c r="P33" i="13"/>
  <c r="Q35" i="13"/>
  <c r="Q33" i="13" s="1"/>
  <c r="J32" i="13"/>
  <c r="I177" i="6"/>
  <c r="I176" i="6" s="1"/>
  <c r="I163" i="6"/>
  <c r="O41" i="13"/>
  <c r="J87" i="13"/>
  <c r="O42" i="13"/>
  <c r="I184" i="6"/>
  <c r="J137" i="6"/>
  <c r="P38" i="13"/>
  <c r="N179" i="6"/>
  <c r="P93" i="13"/>
  <c r="Q95" i="13"/>
  <c r="Q93" i="13" s="1"/>
  <c r="Q109" i="13" s="1"/>
  <c r="O49" i="12"/>
  <c r="O18" i="12"/>
  <c r="I47" i="12"/>
  <c r="P90" i="13" l="1"/>
  <c r="J151" i="6"/>
  <c r="J146" i="6"/>
  <c r="J136" i="6"/>
  <c r="O112" i="13"/>
  <c r="O117" i="13" s="1"/>
  <c r="J30" i="13"/>
  <c r="Q41" i="13"/>
  <c r="O113" i="13"/>
  <c r="O118" i="13" s="1"/>
  <c r="P109" i="13"/>
  <c r="P36" i="13"/>
  <c r="Q38" i="13"/>
  <c r="Q36" i="13" s="1"/>
  <c r="J86" i="13"/>
  <c r="J106" i="13" s="1"/>
  <c r="O88" i="13"/>
  <c r="J107" i="13"/>
  <c r="P108" i="13"/>
  <c r="O48" i="12"/>
  <c r="I17" i="12"/>
  <c r="O19" i="12"/>
  <c r="O63" i="12" l="1"/>
  <c r="O64" i="12"/>
  <c r="I62" i="12"/>
  <c r="Q42" i="13"/>
  <c r="Q112" i="13"/>
  <c r="Q122" i="13" s="1"/>
  <c r="J150" i="6"/>
  <c r="J155" i="6"/>
  <c r="J154" i="6" s="1"/>
  <c r="P12" i="13"/>
  <c r="O123" i="13"/>
  <c r="O31" i="13"/>
  <c r="J29" i="13"/>
  <c r="J40" i="13"/>
  <c r="P11" i="13"/>
  <c r="O122" i="13"/>
  <c r="J145" i="6"/>
  <c r="J159" i="6" l="1"/>
  <c r="P41" i="13"/>
  <c r="J111" i="13"/>
  <c r="J116" i="13" s="1"/>
  <c r="J39" i="13"/>
  <c r="P42" i="13"/>
  <c r="Q113" i="13"/>
  <c r="Q123" i="13" s="1"/>
  <c r="Q117" i="13"/>
  <c r="P112" i="13" l="1"/>
  <c r="P122" i="13" s="1"/>
  <c r="J158" i="6"/>
  <c r="J168" i="6"/>
  <c r="J172" i="6"/>
  <c r="Q118" i="13"/>
  <c r="P113" i="13"/>
  <c r="P123" i="13" s="1"/>
  <c r="J110" i="13"/>
  <c r="K10" i="13"/>
  <c r="J121" i="13"/>
  <c r="P118" i="13" l="1"/>
  <c r="J185" i="6"/>
  <c r="J171" i="6"/>
  <c r="P117" i="13"/>
  <c r="K9" i="13"/>
  <c r="K89" i="13"/>
  <c r="J181" i="6"/>
  <c r="J180" i="6" s="1"/>
  <c r="J167" i="6"/>
  <c r="J164" i="6"/>
  <c r="K87" i="13" l="1"/>
  <c r="L89" i="13"/>
  <c r="L87" i="13" s="1"/>
  <c r="J184" i="6"/>
  <c r="K137" i="6"/>
  <c r="K32" i="13"/>
  <c r="J177" i="6"/>
  <c r="J176" i="6" s="1"/>
  <c r="J163" i="6"/>
  <c r="J47" i="12"/>
  <c r="K30" i="13" l="1"/>
  <c r="L32" i="13"/>
  <c r="L30" i="13" s="1"/>
  <c r="P88" i="13"/>
  <c r="K86" i="13"/>
  <c r="K106" i="13" s="1"/>
  <c r="K107" i="13"/>
  <c r="K151" i="6"/>
  <c r="K146" i="6"/>
  <c r="K136" i="6"/>
  <c r="L86" i="13"/>
  <c r="L106" i="13" s="1"/>
  <c r="L107" i="13"/>
  <c r="J17" i="12"/>
  <c r="J62" i="12" l="1"/>
  <c r="K150" i="6"/>
  <c r="K155" i="6"/>
  <c r="K154" i="6" s="1"/>
  <c r="Q88" i="13"/>
  <c r="K29" i="13"/>
  <c r="P31" i="13"/>
  <c r="K40" i="13"/>
  <c r="K145" i="6"/>
  <c r="L29" i="13"/>
  <c r="L40" i="13"/>
  <c r="L111" i="13" l="1"/>
  <c r="L39" i="13"/>
  <c r="K111" i="13"/>
  <c r="K116" i="13" s="1"/>
  <c r="K39" i="13"/>
  <c r="Q31" i="13"/>
  <c r="K159" i="6"/>
  <c r="K158" i="6" l="1"/>
  <c r="K172" i="6"/>
  <c r="K168" i="6"/>
  <c r="L110" i="13"/>
  <c r="L121" i="13"/>
  <c r="K110" i="13"/>
  <c r="Q10" i="13"/>
  <c r="K121" i="13"/>
  <c r="L116" i="13"/>
  <c r="Q9" i="13" l="1"/>
  <c r="M10" i="13"/>
  <c r="M89" i="13"/>
  <c r="K181" i="6"/>
  <c r="K180" i="6" s="1"/>
  <c r="K167" i="6"/>
  <c r="K164" i="6"/>
  <c r="K185" i="6"/>
  <c r="K171" i="6"/>
  <c r="M32" i="13" l="1"/>
  <c r="K177" i="6"/>
  <c r="K176" i="6" s="1"/>
  <c r="K163" i="6"/>
  <c r="K184" i="6"/>
  <c r="L137" i="6"/>
  <c r="M87" i="13"/>
  <c r="M9" i="13"/>
  <c r="L47" i="12"/>
  <c r="M86" i="13" l="1"/>
  <c r="M106" i="13" s="1"/>
  <c r="M107" i="13"/>
  <c r="L151" i="6"/>
  <c r="L146" i="6"/>
  <c r="L136" i="6"/>
  <c r="M30" i="13"/>
  <c r="L17" i="12"/>
  <c r="L62" i="12" l="1"/>
  <c r="L145" i="6"/>
  <c r="M29" i="13"/>
  <c r="M40" i="13"/>
  <c r="L150" i="6"/>
  <c r="L155" i="6"/>
  <c r="L154" i="6" s="1"/>
  <c r="L159" i="6" l="1"/>
  <c r="M111" i="13"/>
  <c r="M39" i="13"/>
  <c r="M110" i="13" l="1"/>
  <c r="N10" i="13"/>
  <c r="M121" i="13"/>
  <c r="L158" i="6"/>
  <c r="L168" i="6"/>
  <c r="L172" i="6"/>
  <c r="M116" i="13"/>
  <c r="N89" i="13" l="1"/>
  <c r="L181" i="6"/>
  <c r="L180" i="6" s="1"/>
  <c r="L167" i="6"/>
  <c r="L164" i="6"/>
  <c r="L185" i="6"/>
  <c r="L171" i="6"/>
  <c r="N9" i="13"/>
  <c r="L184" i="6" l="1"/>
  <c r="M137" i="6"/>
  <c r="N87" i="13"/>
  <c r="N32" i="13"/>
  <c r="L177" i="6"/>
  <c r="L176" i="6" s="1"/>
  <c r="L163" i="6"/>
  <c r="M47" i="12"/>
  <c r="N30" i="13" l="1"/>
  <c r="N86" i="13"/>
  <c r="N106" i="13" s="1"/>
  <c r="N107" i="13"/>
  <c r="M151" i="6"/>
  <c r="M146" i="6"/>
  <c r="M136" i="6"/>
  <c r="M17" i="12"/>
  <c r="M62" i="12" l="1"/>
  <c r="M145" i="6"/>
  <c r="N29" i="13"/>
  <c r="N40" i="13"/>
  <c r="M150" i="6"/>
  <c r="M155" i="6"/>
  <c r="M154" i="6" s="1"/>
  <c r="M159" i="6" l="1"/>
  <c r="N111" i="13"/>
  <c r="N39" i="13"/>
  <c r="M158" i="6" l="1"/>
  <c r="M168" i="6"/>
  <c r="M172" i="6"/>
  <c r="N110" i="13"/>
  <c r="O10" i="13"/>
  <c r="N121" i="13"/>
  <c r="N116" i="13"/>
  <c r="O9" i="13" l="1"/>
  <c r="M185" i="6"/>
  <c r="M171" i="6"/>
  <c r="O89" i="13"/>
  <c r="M181" i="6"/>
  <c r="M180" i="6" s="1"/>
  <c r="M167" i="6"/>
  <c r="M164" i="6"/>
  <c r="O32" i="13" l="1"/>
  <c r="M177" i="6"/>
  <c r="M176" i="6" s="1"/>
  <c r="M163" i="6"/>
  <c r="O87" i="13"/>
  <c r="M184" i="6"/>
  <c r="N137" i="6"/>
  <c r="N47" i="12"/>
  <c r="N151" i="6" l="1"/>
  <c r="N146" i="6"/>
  <c r="N136" i="6"/>
  <c r="O30" i="13"/>
  <c r="O86" i="13"/>
  <c r="O106" i="13" s="1"/>
  <c r="O107" i="13"/>
  <c r="N17" i="12"/>
  <c r="N62" i="12" l="1"/>
  <c r="O29" i="13"/>
  <c r="O40" i="13"/>
  <c r="N145" i="6"/>
  <c r="N150" i="6"/>
  <c r="N155" i="6"/>
  <c r="N154" i="6" s="1"/>
  <c r="O111" i="13" l="1"/>
  <c r="O39" i="13"/>
  <c r="N159" i="6"/>
  <c r="N158" i="6" l="1"/>
  <c r="N168" i="6"/>
  <c r="N172" i="6"/>
  <c r="O110" i="13"/>
  <c r="P10" i="13"/>
  <c r="O121" i="13"/>
  <c r="O116" i="13"/>
  <c r="P9" i="13" l="1"/>
  <c r="N185" i="6"/>
  <c r="N184" i="6" s="1"/>
  <c r="N171" i="6"/>
  <c r="P89" i="13"/>
  <c r="N181" i="6"/>
  <c r="N180" i="6" s="1"/>
  <c r="N167" i="6"/>
  <c r="N164" i="6"/>
  <c r="P32" i="13" l="1"/>
  <c r="N177" i="6"/>
  <c r="N176" i="6" s="1"/>
  <c r="N163" i="6"/>
  <c r="P87" i="13"/>
  <c r="Q89" i="13"/>
  <c r="Q87" i="13" s="1"/>
  <c r="O47" i="12"/>
  <c r="Q86" i="13" l="1"/>
  <c r="Q106" i="13" s="1"/>
  <c r="Q107" i="13"/>
  <c r="P30" i="13"/>
  <c r="Q32" i="13"/>
  <c r="Q30" i="13" s="1"/>
  <c r="P86" i="13"/>
  <c r="P106" i="13" s="1"/>
  <c r="P107" i="13"/>
  <c r="O17" i="12"/>
  <c r="O62" i="12" l="1"/>
  <c r="P29" i="13"/>
  <c r="P40" i="13"/>
  <c r="Q29" i="13"/>
  <c r="Q40" i="13"/>
  <c r="P111" i="13" l="1"/>
  <c r="P39" i="13"/>
  <c r="Q111" i="13"/>
  <c r="Q39" i="13"/>
  <c r="Q110" i="13" l="1"/>
  <c r="Q121" i="13"/>
  <c r="P110" i="13"/>
  <c r="P121" i="13"/>
  <c r="Q116" i="13"/>
  <c r="P116" i="13"/>
</calcChain>
</file>

<file path=xl/sharedStrings.xml><?xml version="1.0" encoding="utf-8"?>
<sst xmlns="http://schemas.openxmlformats.org/spreadsheetml/2006/main" count="923" uniqueCount="150">
  <si>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</si>
  <si>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</si>
  <si>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</si>
  <si>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</si>
  <si>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</si>
  <si>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</si>
  <si>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</si>
  <si>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</si>
  <si>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</si>
  <si>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</si>
  <si>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</si>
  <si>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</si>
  <si>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</si>
  <si>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</si>
  <si>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</si>
  <si>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Увеличение объема переработки вследствие ввода новых мощностей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</si>
  <si>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</si>
  <si>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</si>
  <si>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</si>
  <si>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</si>
  <si>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2.2 Потери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</si>
  <si>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</si>
  <si>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</si>
  <si>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</si>
  <si>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</si>
  <si>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</si>
  <si>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</si>
  <si>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</si>
  <si>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</si>
  <si>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</si>
  <si>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</si>
  <si>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</si>
  <si>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3.2.2. Сторно ввоза</t>
  </si>
  <si>
    <t>3.2.3. Сторно вывоза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</si>
  <si>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</si>
  <si>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</si>
  <si>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</si>
  <si>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</si>
  <si>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</si>
  <si>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</si>
  <si>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</si>
  <si>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</si>
  <si>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</si>
  <si>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</si>
  <si>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</si>
  <si>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</si>
  <si>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</si>
  <si>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</si>
  <si>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</si>
  <si>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</si>
  <si>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</si>
  <si>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</si>
  <si>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</si>
  <si>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</si>
  <si>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2.3 Вывоз, включая экспорт</t>
  </si>
  <si>
    <t>Объем вывоза, включая экспорт в предыдущем году</t>
  </si>
  <si>
    <t xml:space="preserve">Изменение вывоза относительно предыдущего года </t>
  </si>
  <si>
    <t>2.4 Личное потребление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</si>
  <si>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</si>
  <si>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</si>
  <si>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</si>
  <si>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</si>
  <si>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</si>
  <si>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</si>
  <si>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</si>
  <si>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</si>
  <si>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</si>
  <si>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</si>
  <si>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</si>
  <si>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</si>
  <si>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</si>
  <si>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</si>
  <si>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</si>
  <si>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</si>
  <si>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</si>
  <si>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</si>
  <si>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</si>
  <si>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</si>
  <si>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</si>
  <si>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</si>
  <si>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</si>
  <si>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</si>
  <si>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</si>
  <si>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</si>
  <si>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</si>
  <si>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</si>
  <si>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</si>
  <si>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Проверка</t>
  </si>
  <si>
    <t xml:space="preserve">Мука пшенична </t>
  </si>
  <si>
    <t>Мука ржаная</t>
  </si>
  <si>
    <t>Прочая мука</t>
  </si>
  <si>
    <t xml:space="preserve">Переработка </t>
  </si>
  <si>
    <t>1. Личное потребление</t>
  </si>
  <si>
    <t>2. Потери</t>
  </si>
  <si>
    <t>Мука пшеничная</t>
  </si>
  <si>
    <t xml:space="preserve">Увеличение объема производства вследствие ввода новых мощностей в соответствующем регионе </t>
  </si>
  <si>
    <t xml:space="preserve">Снижение объема производства вследствие вывода существующих мощностей </t>
  </si>
  <si>
    <t xml:space="preserve">Изменение объема производства вследствие изменения загрузки существующих мощностей </t>
  </si>
  <si>
    <t>Увеличение объема производства вследствие ввода новых мощностей</t>
  </si>
  <si>
    <t>Объем производства в предыдущем году</t>
  </si>
  <si>
    <r>
      <t>Прогнозное среднедушевое потребление муки</t>
    </r>
    <r>
      <rPr>
        <sz val="10"/>
        <color rgb="FF000000"/>
        <rFont val="Arial"/>
        <family val="2"/>
        <charset val="204"/>
      </rPr>
      <t xml:space="preserve"> </t>
    </r>
  </si>
  <si>
    <t>Мука, всего</t>
  </si>
  <si>
    <t>тыс. т</t>
  </si>
  <si>
    <t>1.2 Производство</t>
  </si>
  <si>
    <t xml:space="preserve">(Таблица содержит фактические значения за 3 предыдущих года и плановые на 3 прогнозных года. </t>
  </si>
  <si>
    <t>тыс. чел.</t>
  </si>
  <si>
    <t>Таблица 1 - Данные по инвестиционным проектам</t>
  </si>
  <si>
    <t>Численность населения на соответствующий год</t>
  </si>
  <si>
    <t>Таблица 2 - Статистическая база для разработки прогноза квартальных показателей</t>
  </si>
  <si>
    <t>Таблица 3 - Данные для корректировки прогноза согласно уровня исторического минимума</t>
  </si>
  <si>
    <t>Таблица 4 - Данные прогноза социально-экономического развития</t>
  </si>
  <si>
    <t>Таблица 6 - Распределение годовых значений по кварталам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</si>
  <si>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</si>
  <si>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>Проверка на наличие данных в Запасах: если значение больше "0", значит проверка пройдена</t>
  </si>
  <si>
    <t xml:space="preserve">Мука пшеничная </t>
  </si>
  <si>
    <t>уд. вес</t>
  </si>
  <si>
    <t xml:space="preserve">Мука пшенично </t>
  </si>
  <si>
    <t>Проверка на наличие данных в Балансе: если значение больше "0", значит проверка пройдена</t>
  </si>
  <si>
    <t>(Таблица содержит фактические значения балансов за 7 предыдущих лет с поквартальной разбивкой. Необходима для расчета минимального значения запасов для авто корректировки на листе "3.Прогноз.С_корректировкой таб7")</t>
  </si>
  <si>
    <t>Производство (п.1.2 Баланса)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</si>
  <si>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</si>
  <si>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 xml:space="preserve">"1.2 Производство" </t>
    </r>
    <r>
      <rPr>
        <i/>
        <sz val="10"/>
        <color theme="9" tint="-0.249977111117893"/>
        <rFont val="Times New Roman"/>
        <family val="1"/>
        <charset val="204"/>
      </rPr>
      <t xml:space="preserve">и </t>
    </r>
    <r>
      <rPr>
        <i/>
        <sz val="10"/>
        <color rgb="FFFF0000"/>
        <rFont val="Times New Roman"/>
        <family val="1"/>
        <charset val="204"/>
      </rPr>
      <t>"2.1 Переработка"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</si>
  <si>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2 и запасов Таблицы 3</t>
  </si>
  <si>
    <t>(В таблице рассчитываются коэффициенты для распределения годовых прогнозных значений на квартальные, согласно таблице 2)</t>
  </si>
  <si>
    <r>
      <t xml:space="preserve">Плановые значения по показателю </t>
    </r>
    <r>
      <rPr>
        <i/>
        <sz val="10"/>
        <color rgb="FFFF0000"/>
        <rFont val="Times New Roman"/>
        <family val="1"/>
        <charset val="204"/>
      </rPr>
      <t xml:space="preserve">"Прогнозная численность населения на соответствующий год" </t>
    </r>
    <r>
      <rPr>
        <i/>
        <sz val="10"/>
        <color theme="9" tint="-0.249977111117893"/>
        <rFont val="Times New Roman"/>
        <family val="1"/>
        <charset val="204"/>
      </rPr>
      <t>вносится на основании прогноза социально-</t>
    </r>
  </si>
  <si>
    <t xml:space="preserve">Прогнозная численность населения </t>
  </si>
  <si>
    <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</t>
    </r>
    <r>
      <rPr>
        <i/>
        <sz val="10"/>
        <color theme="9" tint="-0.249977111117893"/>
        <rFont val="Times New Roman"/>
        <family val="1"/>
        <charset val="204"/>
      </rPr>
      <t xml:space="preserve">, если в вашем регионе появилось производство </t>
    </r>
    <r>
      <rPr>
        <i/>
        <sz val="10"/>
        <color rgb="FFFF0000"/>
        <rFont val="Times New Roman"/>
        <family val="1"/>
        <charset val="204"/>
      </rPr>
      <t>групп продуктов</t>
    </r>
    <r>
      <rPr>
        <i/>
        <sz val="10"/>
        <color theme="9" tint="-0.249977111117893"/>
        <rFont val="Times New Roman"/>
        <family val="1"/>
        <charset val="204"/>
      </rPr>
      <t>)</t>
    </r>
  </si>
  <si>
    <t>Таблица 5 - Среднедушевого потребления согласно данным прогноза социально-экономического развития</t>
  </si>
  <si>
    <r>
      <t xml:space="preserve">экономического развития Региона.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"2.4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</si>
  <si>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r>
      <t xml:space="preserve">(Таблица содержит фактические значения за 3 прогнозных года.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"2.4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</si>
  <si>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Прогнозная численность населения</t>
  </si>
  <si>
    <t>(В таблице выполняется расчет значений для корректировок, согласно уровня исторического минимума запасов на конец периода,</t>
  </si>
  <si>
    <t xml:space="preserve"> а также компенсаций произведенных корректировок в последующих кварталах прогнозного года)</t>
  </si>
  <si>
    <t>кг/чел.</t>
  </si>
  <si>
    <t>Переработка на продовольственные цели  (п.2.1 Баланса)</t>
  </si>
  <si>
    <t>Переработка на другие цели  (п.2.1 Баланса)</t>
  </si>
  <si>
    <t>Переработка на продовольственные цели</t>
  </si>
  <si>
    <t>Переработка на другие цели</t>
  </si>
  <si>
    <t>2.1 Переработка</t>
  </si>
  <si>
    <t>2.1.1 Переработка на продовольственные цели</t>
  </si>
  <si>
    <t>2.1.2 Переработка на другие цели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</si>
  <si>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</si>
  <si>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</si>
  <si>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</si>
  <si>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</si>
  <si>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 xml:space="preserve">  2.1 Переработка</t>
  </si>
  <si>
    <t xml:space="preserve">  2.2 Потери</t>
  </si>
  <si>
    <t xml:space="preserve">  2.3 Вывоз, включая экспорт</t>
  </si>
  <si>
    <t xml:space="preserve">  2.4 Личное потребление</t>
  </si>
  <si>
    <t>000156390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</si>
</sst>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,"/>
    <numFmt numFmtId="169" formatCode="#,##0_ ;[Red]\-#,##0\ "/>
    <numFmt numFmtId="170" formatCode="[=0]&quot;&quot;;General"/>
    <numFmt numFmtId="171" formatCode="#,##0.000_ ;\-#,##0.000\ "/>
  </numFmts>
  <fonts count="3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i/>
      <sz val="11"/>
      <color theme="1"/>
      <name val="Times New Roman"/>
      <family val="1"/>
      <charset val="204"/>
    </font>
    <font>
      <sz val="11"/>
      <color indexed="45"/>
      <name val="Calibri"/>
      <family val="2"/>
      <charset val="1"/>
    </font>
    <font>
      <b/>
      <sz val="11"/>
      <color indexed="45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i/>
      <sz val="10"/>
      <color theme="9" tint="-0.249977111117893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1"/>
      <color indexed="5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/>
        <bgColor rgb="FFB7DE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FC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lightUp">
        <fgColor indexed="55"/>
        <bgColor indexed="14"/>
      </patternFill>
    </fill>
    <fill>
      <patternFill patternType="solid">
        <fgColor rgb="FFB9CDE5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9" fillId="0" borderId="0" applyBorder="0" applyProtection="0"/>
    <xf numFmtId="165" fontId="9" fillId="0" borderId="0" applyBorder="0" applyProtection="0"/>
    <xf numFmtId="0" fontId="17" fillId="0" borderId="0"/>
    <xf numFmtId="0" fontId="17" fillId="0" borderId="0"/>
  </cellStyleXfs>
  <cellXfs count="626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4" fillId="0" borderId="0" xfId="0" applyFont="1"/>
    <xf numFmtId="167" fontId="1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2" borderId="0" xfId="0" applyFill="1"/>
    <xf numFmtId="0" fontId="0" fillId="0" borderId="0" xfId="0" applyAlignment="1"/>
    <xf numFmtId="0" fontId="1" fillId="0" borderId="0" xfId="0" applyFont="1" applyAlignment="1"/>
    <xf numFmtId="167" fontId="1" fillId="0" borderId="0" xfId="0" applyNumberFormat="1" applyFont="1" applyAlignment="1"/>
    <xf numFmtId="0" fontId="0" fillId="0" borderId="0" xfId="0" applyFill="1"/>
    <xf numFmtId="0" fontId="10" fillId="0" borderId="0" xfId="0" applyFont="1"/>
    <xf numFmtId="0" fontId="12" fillId="0" borderId="0" xfId="0" applyFont="1"/>
    <xf numFmtId="0" fontId="14" fillId="0" borderId="2" xfId="0" applyFont="1" applyFill="1" applyBorder="1" applyAlignment="1">
      <alignment horizontal="right"/>
    </xf>
    <xf numFmtId="0" fontId="13" fillId="0" borderId="0" xfId="0" applyFont="1" applyBorder="1" applyAlignment="1"/>
    <xf numFmtId="0" fontId="0" fillId="0" borderId="0" xfId="0" applyBorder="1"/>
    <xf numFmtId="0" fontId="1" fillId="0" borderId="22" xfId="0" applyFont="1" applyBorder="1" applyAlignment="1">
      <alignment horizontal="center" vertical="center"/>
    </xf>
    <xf numFmtId="10" fontId="2" fillId="0" borderId="31" xfId="0" applyNumberFormat="1" applyFont="1" applyBorder="1" applyAlignment="1">
      <alignment horizontal="center" vertical="center" wrapText="1"/>
    </xf>
    <xf numFmtId="10" fontId="2" fillId="0" borderId="32" xfId="0" applyNumberFormat="1" applyFont="1" applyBorder="1" applyAlignment="1">
      <alignment horizontal="center" vertical="center" wrapText="1"/>
    </xf>
    <xf numFmtId="10" fontId="2" fillId="0" borderId="33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2" fillId="4" borderId="37" xfId="0" applyFont="1" applyFill="1" applyBorder="1"/>
    <xf numFmtId="164" fontId="1" fillId="4" borderId="23" xfId="0" applyNumberFormat="1" applyFont="1" applyFill="1" applyBorder="1"/>
    <xf numFmtId="164" fontId="1" fillId="4" borderId="38" xfId="0" applyNumberFormat="1" applyFont="1" applyFill="1" applyBorder="1"/>
    <xf numFmtId="0" fontId="2" fillId="4" borderId="36" xfId="0" applyFont="1" applyFill="1" applyBorder="1"/>
    <xf numFmtId="0" fontId="2" fillId="0" borderId="0" xfId="0" applyFont="1"/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2" fillId="0" borderId="43" xfId="0" applyFont="1" applyBorder="1" applyAlignment="1">
      <alignment vertical="center"/>
    </xf>
    <xf numFmtId="0" fontId="1" fillId="0" borderId="0" xfId="0" applyFont="1" applyBorder="1" applyAlignment="1"/>
    <xf numFmtId="0" fontId="2" fillId="0" borderId="43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6" fillId="0" borderId="26" xfId="0" applyFont="1" applyBorder="1" applyAlignment="1">
      <alignment vertical="center" wrapText="1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/>
    <xf numFmtId="167" fontId="1" fillId="0" borderId="1" xfId="0" applyNumberFormat="1" applyFont="1" applyFill="1" applyBorder="1" applyAlignment="1">
      <alignment horizontal="right"/>
    </xf>
    <xf numFmtId="167" fontId="1" fillId="0" borderId="5" xfId="0" applyNumberFormat="1" applyFont="1" applyFill="1" applyBorder="1" applyAlignment="1">
      <alignment horizontal="right"/>
    </xf>
    <xf numFmtId="167" fontId="1" fillId="0" borderId="3" xfId="0" applyNumberFormat="1" applyFont="1" applyFill="1" applyBorder="1" applyAlignment="1">
      <alignment horizontal="right"/>
    </xf>
    <xf numFmtId="167" fontId="1" fillId="0" borderId="15" xfId="0" applyNumberFormat="1" applyFont="1" applyFill="1" applyBorder="1" applyAlignment="1">
      <alignment horizontal="right"/>
    </xf>
    <xf numFmtId="167" fontId="2" fillId="11" borderId="8" xfId="0" applyNumberFormat="1" applyFont="1" applyFill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170" fontId="15" fillId="0" borderId="1" xfId="0" applyNumberFormat="1" applyFont="1" applyBorder="1" applyAlignment="1">
      <alignment horizontal="right"/>
    </xf>
    <xf numFmtId="0" fontId="19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5" fillId="16" borderId="4" xfId="0" applyNumberFormat="1" applyFont="1" applyFill="1" applyBorder="1" applyAlignment="1">
      <alignment horizontal="left" wrapText="1"/>
    </xf>
    <xf numFmtId="0" fontId="15" fillId="16" borderId="4" xfId="0" applyNumberFormat="1" applyFont="1" applyFill="1" applyBorder="1" applyAlignment="1">
      <alignment horizontal="left" wrapText="1"/>
    </xf>
    <xf numFmtId="0" fontId="0" fillId="0" borderId="0" xfId="0" applyFill="1" applyBorder="1"/>
    <xf numFmtId="0" fontId="16" fillId="0" borderId="0" xfId="0" applyFont="1" applyFill="1" applyBorder="1" applyAlignment="1"/>
    <xf numFmtId="0" fontId="1" fillId="0" borderId="22" xfId="0" applyFont="1" applyBorder="1" applyAlignment="1">
      <alignment horizontal="center"/>
    </xf>
    <xf numFmtId="167" fontId="1" fillId="18" borderId="1" xfId="0" applyNumberFormat="1" applyFont="1" applyFill="1" applyBorder="1" applyAlignment="1" applyProtection="1">
      <alignment horizontal="right"/>
      <protection locked="0"/>
    </xf>
    <xf numFmtId="167" fontId="1" fillId="18" borderId="15" xfId="0" applyNumberFormat="1" applyFont="1" applyFill="1" applyBorder="1" applyAlignment="1" applyProtection="1">
      <alignment horizontal="right"/>
      <protection locked="0"/>
    </xf>
    <xf numFmtId="164" fontId="1" fillId="4" borderId="4" xfId="0" applyNumberFormat="1" applyFont="1" applyFill="1" applyBorder="1" applyProtection="1">
      <protection locked="0"/>
    </xf>
    <xf numFmtId="164" fontId="1" fillId="4" borderId="16" xfId="0" applyNumberFormat="1" applyFont="1" applyFill="1" applyBorder="1" applyProtection="1">
      <protection locked="0"/>
    </xf>
    <xf numFmtId="167" fontId="1" fillId="18" borderId="21" xfId="0" applyNumberFormat="1" applyFont="1" applyFill="1" applyBorder="1" applyAlignment="1" applyProtection="1">
      <alignment horizontal="right"/>
      <protection locked="0"/>
    </xf>
    <xf numFmtId="167" fontId="1" fillId="18" borderId="22" xfId="0" applyNumberFormat="1" applyFont="1" applyFill="1" applyBorder="1" applyAlignment="1" applyProtection="1">
      <alignment horizontal="right"/>
      <protection locked="0"/>
    </xf>
    <xf numFmtId="49" fontId="19" fillId="0" borderId="0" xfId="0" applyNumberFormat="1" applyFont="1" applyProtection="1">
      <protection locked="0"/>
    </xf>
    <xf numFmtId="167" fontId="2" fillId="11" borderId="19" xfId="0" applyNumberFormat="1" applyFont="1" applyFill="1" applyBorder="1" applyAlignment="1">
      <alignment horizontal="right"/>
    </xf>
    <xf numFmtId="167" fontId="1" fillId="0" borderId="20" xfId="0" applyNumberFormat="1" applyFont="1" applyFill="1" applyBorder="1" applyAlignment="1">
      <alignment horizontal="right"/>
    </xf>
    <xf numFmtId="167" fontId="1" fillId="0" borderId="21" xfId="0" applyNumberFormat="1" applyFont="1" applyFill="1" applyBorder="1" applyAlignment="1">
      <alignment horizontal="right"/>
    </xf>
    <xf numFmtId="167" fontId="1" fillId="0" borderId="18" xfId="0" applyNumberFormat="1" applyFont="1" applyFill="1" applyBorder="1" applyAlignment="1">
      <alignment horizontal="right"/>
    </xf>
    <xf numFmtId="167" fontId="1" fillId="0" borderId="22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167" fontId="1" fillId="0" borderId="6" xfId="0" applyNumberFormat="1" applyFont="1" applyFill="1" applyBorder="1" applyAlignment="1">
      <alignment horizontal="right"/>
    </xf>
    <xf numFmtId="167" fontId="1" fillId="0" borderId="17" xfId="0" applyNumberFormat="1" applyFont="1" applyFill="1" applyBorder="1" applyAlignment="1">
      <alignment horizontal="right"/>
    </xf>
    <xf numFmtId="167" fontId="2" fillId="4" borderId="29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7" fillId="0" borderId="0" xfId="1" applyNumberFormat="1" applyFont="1" applyAlignment="1">
      <alignment horizontal="center"/>
    </xf>
    <xf numFmtId="165" fontId="24" fillId="0" borderId="0" xfId="1" applyFont="1" applyBorder="1" applyAlignment="1">
      <alignment horizontal="center" vertical="top" wrapText="1"/>
    </xf>
    <xf numFmtId="167" fontId="25" fillId="0" borderId="0" xfId="0" applyNumberFormat="1" applyFont="1" applyFill="1" applyBorder="1"/>
    <xf numFmtId="167" fontId="26" fillId="0" borderId="0" xfId="0" applyNumberFormat="1" applyFont="1" applyFill="1" applyBorder="1"/>
    <xf numFmtId="0" fontId="26" fillId="0" borderId="0" xfId="0" applyFont="1" applyBorder="1"/>
    <xf numFmtId="0" fontId="26" fillId="0" borderId="0" xfId="0" applyFont="1"/>
    <xf numFmtId="10" fontId="13" fillId="0" borderId="33" xfId="0" applyNumberFormat="1" applyFont="1" applyBorder="1" applyAlignment="1">
      <alignment horizontal="center" vertical="center" wrapText="1"/>
    </xf>
    <xf numFmtId="10" fontId="14" fillId="0" borderId="0" xfId="0" applyNumberFormat="1" applyFont="1" applyBorder="1" applyAlignment="1">
      <alignment horizontal="left" wrapText="1"/>
    </xf>
    <xf numFmtId="0" fontId="14" fillId="0" borderId="0" xfId="0" applyFont="1" applyFill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NumberFormat="1" applyFont="1" applyBorder="1" applyAlignment="1">
      <alignment vertical="center" wrapText="1"/>
    </xf>
    <xf numFmtId="0" fontId="15" fillId="16" borderId="16" xfId="0" applyNumberFormat="1" applyFont="1" applyFill="1" applyBorder="1" applyAlignment="1">
      <alignment horizontal="left" wrapText="1"/>
    </xf>
    <xf numFmtId="170" fontId="15" fillId="0" borderId="21" xfId="0" applyNumberFormat="1" applyFont="1" applyBorder="1" applyAlignment="1">
      <alignment horizontal="right"/>
    </xf>
    <xf numFmtId="167" fontId="5" fillId="7" borderId="1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0" fontId="28" fillId="0" borderId="0" xfId="0" applyFont="1"/>
    <xf numFmtId="0" fontId="28" fillId="2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3" fontId="1" fillId="1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8" fontId="1" fillId="13" borderId="1" xfId="0" applyNumberFormat="1" applyFont="1" applyFill="1" applyBorder="1" applyAlignment="1">
      <alignment horizontal="center"/>
    </xf>
    <xf numFmtId="165" fontId="23" fillId="0" borderId="0" xfId="1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0" fontId="26" fillId="0" borderId="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0" xfId="0" applyFont="1" applyAlignment="1"/>
    <xf numFmtId="0" fontId="21" fillId="0" borderId="0" xfId="0" applyFont="1" applyAlignment="1" applyProtection="1"/>
    <xf numFmtId="10" fontId="2" fillId="0" borderId="31" xfId="0" applyNumberFormat="1" applyFont="1" applyBorder="1" applyAlignment="1">
      <alignment vertical="center" wrapText="1"/>
    </xf>
    <xf numFmtId="10" fontId="2" fillId="0" borderId="32" xfId="0" applyNumberFormat="1" applyFont="1" applyBorder="1" applyAlignment="1">
      <alignment vertical="center" wrapText="1"/>
    </xf>
    <xf numFmtId="167" fontId="2" fillId="5" borderId="29" xfId="0" applyNumberFormat="1" applyFont="1" applyFill="1" applyBorder="1" applyAlignment="1"/>
    <xf numFmtId="4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167" fontId="1" fillId="13" borderId="5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/>
    <xf numFmtId="167" fontId="1" fillId="0" borderId="15" xfId="0" applyNumberFormat="1" applyFont="1" applyFill="1" applyBorder="1" applyAlignment="1"/>
    <xf numFmtId="167" fontId="1" fillId="13" borderId="16" xfId="0" applyNumberFormat="1" applyFont="1" applyFill="1" applyBorder="1" applyAlignment="1" applyProtection="1">
      <protection locked="0"/>
    </xf>
    <xf numFmtId="167" fontId="1" fillId="13" borderId="20" xfId="0" applyNumberFormat="1" applyFont="1" applyFill="1" applyBorder="1" applyAlignment="1" applyProtection="1">
      <protection locked="0"/>
    </xf>
    <xf numFmtId="167" fontId="1" fillId="13" borderId="44" xfId="0" applyNumberFormat="1" applyFont="1" applyFill="1" applyBorder="1" applyAlignment="1" applyProtection="1">
      <protection locked="0"/>
    </xf>
    <xf numFmtId="167" fontId="0" fillId="0" borderId="0" xfId="0" applyNumberFormat="1" applyAlignment="1"/>
    <xf numFmtId="167" fontId="2" fillId="4" borderId="29" xfId="0" applyNumberFormat="1" applyFont="1" applyFill="1" applyBorder="1" applyAlignment="1"/>
    <xf numFmtId="167" fontId="2" fillId="11" borderId="8" xfId="0" applyNumberFormat="1" applyFont="1" applyFill="1" applyBorder="1" applyAlignment="1"/>
    <xf numFmtId="167" fontId="1" fillId="13" borderId="1" xfId="0" applyNumberFormat="1" applyFont="1" applyFill="1" applyBorder="1" applyAlignment="1" applyProtection="1">
      <protection locked="0"/>
    </xf>
    <xf numFmtId="167" fontId="1" fillId="13" borderId="3" xfId="0" applyNumberFormat="1" applyFont="1" applyFill="1" applyBorder="1" applyAlignment="1" applyProtection="1">
      <protection locked="0"/>
    </xf>
    <xf numFmtId="167" fontId="2" fillId="11" borderId="19" xfId="0" applyNumberFormat="1" applyFont="1" applyFill="1" applyBorder="1" applyAlignment="1"/>
    <xf numFmtId="167" fontId="1" fillId="13" borderId="21" xfId="0" applyNumberFormat="1" applyFont="1" applyFill="1" applyBorder="1" applyAlignment="1" applyProtection="1">
      <protection locked="0"/>
    </xf>
    <xf numFmtId="167" fontId="1" fillId="13" borderId="18" xfId="0" applyNumberFormat="1" applyFont="1" applyFill="1" applyBorder="1" applyAlignment="1" applyProtection="1">
      <protection locked="0"/>
    </xf>
    <xf numFmtId="167" fontId="2" fillId="0" borderId="0" xfId="0" applyNumberFormat="1" applyFont="1" applyFill="1" applyBorder="1" applyAlignment="1"/>
    <xf numFmtId="167" fontId="1" fillId="0" borderId="0" xfId="0" applyNumberFormat="1" applyFont="1" applyFill="1" applyBorder="1" applyAlignment="1"/>
    <xf numFmtId="165" fontId="24" fillId="0" borderId="0" xfId="1" applyFont="1" applyBorder="1" applyAlignment="1">
      <alignment vertical="top" wrapText="1"/>
    </xf>
    <xf numFmtId="167" fontId="1" fillId="19" borderId="0" xfId="0" applyNumberFormat="1" applyFont="1" applyFill="1" applyBorder="1" applyAlignment="1" applyProtection="1">
      <protection hidden="1"/>
    </xf>
    <xf numFmtId="0" fontId="26" fillId="0" borderId="0" xfId="0" applyFont="1" applyBorder="1" applyAlignment="1"/>
    <xf numFmtId="165" fontId="24" fillId="7" borderId="0" xfId="1" applyFont="1" applyFill="1" applyBorder="1" applyAlignment="1">
      <alignment vertical="top" wrapText="1"/>
    </xf>
    <xf numFmtId="0" fontId="8" fillId="0" borderId="28" xfId="0" applyFont="1" applyBorder="1" applyAlignment="1"/>
    <xf numFmtId="167" fontId="2" fillId="0" borderId="8" xfId="0" applyNumberFormat="1" applyFont="1" applyBorder="1" applyAlignment="1"/>
    <xf numFmtId="167" fontId="1" fillId="9" borderId="5" xfId="0" applyNumberFormat="1" applyFont="1" applyFill="1" applyBorder="1" applyAlignment="1" applyProtection="1">
      <protection locked="0" hidden="1"/>
    </xf>
    <xf numFmtId="167" fontId="1" fillId="9" borderId="1" xfId="0" applyNumberFormat="1" applyFont="1" applyFill="1" applyBorder="1" applyAlignment="1" applyProtection="1">
      <protection locked="0" hidden="1"/>
    </xf>
    <xf numFmtId="167" fontId="2" fillId="0" borderId="19" xfId="0" applyNumberFormat="1" applyFont="1" applyBorder="1" applyAlignment="1"/>
    <xf numFmtId="167" fontId="1" fillId="9" borderId="20" xfId="0" applyNumberFormat="1" applyFont="1" applyFill="1" applyBorder="1" applyAlignment="1" applyProtection="1">
      <protection locked="0" hidden="1"/>
    </xf>
    <xf numFmtId="167" fontId="1" fillId="9" borderId="21" xfId="0" applyNumberFormat="1" applyFont="1" applyFill="1" applyBorder="1" applyAlignment="1" applyProtection="1">
      <protection locked="0" hidden="1"/>
    </xf>
    <xf numFmtId="0" fontId="2" fillId="0" borderId="0" xfId="0" applyFont="1" applyAlignment="1"/>
    <xf numFmtId="3" fontId="2" fillId="5" borderId="40" xfId="0" applyNumberFormat="1" applyFont="1" applyFill="1" applyBorder="1" applyAlignment="1">
      <alignment vertical="top"/>
    </xf>
    <xf numFmtId="3" fontId="2" fillId="5" borderId="39" xfId="0" applyNumberFormat="1" applyFont="1" applyFill="1" applyBorder="1" applyAlignment="1">
      <alignment vertical="top"/>
    </xf>
    <xf numFmtId="167" fontId="1" fillId="5" borderId="37" xfId="0" applyNumberFormat="1" applyFont="1" applyFill="1" applyBorder="1" applyAlignment="1"/>
    <xf numFmtId="167" fontId="1" fillId="5" borderId="23" xfId="0" applyNumberFormat="1" applyFont="1" applyFill="1" applyBorder="1" applyAlignment="1"/>
    <xf numFmtId="164" fontId="1" fillId="4" borderId="23" xfId="0" applyNumberFormat="1" applyFont="1" applyFill="1" applyBorder="1" applyAlignment="1"/>
    <xf numFmtId="167" fontId="1" fillId="18" borderId="6" xfId="0" applyNumberFormat="1" applyFont="1" applyFill="1" applyBorder="1" applyAlignment="1" applyProtection="1">
      <protection locked="0"/>
    </xf>
    <xf numFmtId="167" fontId="1" fillId="18" borderId="1" xfId="0" applyNumberFormat="1" applyFont="1" applyFill="1" applyBorder="1" applyAlignment="1" applyProtection="1">
      <protection locked="0"/>
    </xf>
    <xf numFmtId="167" fontId="1" fillId="5" borderId="36" xfId="0" applyNumberFormat="1" applyFont="1" applyFill="1" applyBorder="1" applyAlignment="1" applyProtection="1">
      <protection locked="0"/>
    </xf>
    <xf numFmtId="167" fontId="1" fillId="5" borderId="4" xfId="0" applyNumberFormat="1" applyFont="1" applyFill="1" applyBorder="1" applyAlignment="1" applyProtection="1">
      <protection locked="0"/>
    </xf>
    <xf numFmtId="164" fontId="1" fillId="4" borderId="4" xfId="0" applyNumberFormat="1" applyFont="1" applyFill="1" applyBorder="1" applyAlignment="1" applyProtection="1">
      <protection locked="0"/>
    </xf>
    <xf numFmtId="167" fontId="1" fillId="18" borderId="17" xfId="0" applyNumberFormat="1" applyFont="1" applyFill="1" applyBorder="1" applyAlignment="1" applyProtection="1">
      <protection locked="0"/>
    </xf>
    <xf numFmtId="167" fontId="1" fillId="18" borderId="21" xfId="0" applyNumberFormat="1" applyFont="1" applyFill="1" applyBorder="1" applyAlignment="1" applyProtection="1">
      <protection locked="0"/>
    </xf>
    <xf numFmtId="0" fontId="1" fillId="0" borderId="36" xfId="0" applyFont="1" applyBorder="1" applyAlignment="1">
      <alignment horizontal="left" indent="1"/>
    </xf>
    <xf numFmtId="0" fontId="1" fillId="0" borderId="47" xfId="0" applyFont="1" applyBorder="1" applyAlignment="1">
      <alignment horizontal="left" indent="1"/>
    </xf>
    <xf numFmtId="10" fontId="13" fillId="0" borderId="26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 indent="1"/>
    </xf>
    <xf numFmtId="0" fontId="26" fillId="0" borderId="0" xfId="0" applyFont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4" fillId="0" borderId="46" xfId="0" applyFont="1" applyFill="1" applyBorder="1" applyAlignment="1">
      <alignment horizontal="center" vertical="center"/>
    </xf>
    <xf numFmtId="10" fontId="14" fillId="0" borderId="50" xfId="0" applyNumberFormat="1" applyFont="1" applyBorder="1" applyAlignment="1">
      <alignment horizontal="left" vertical="center" wrapText="1"/>
    </xf>
    <xf numFmtId="167" fontId="1" fillId="13" borderId="49" xfId="0" applyNumberFormat="1" applyFont="1" applyFill="1" applyBorder="1" applyAlignment="1" applyProtection="1">
      <alignment vertical="center"/>
      <protection locked="0"/>
    </xf>
    <xf numFmtId="167" fontId="1" fillId="13" borderId="45" xfId="0" applyNumberFormat="1" applyFont="1" applyFill="1" applyBorder="1" applyAlignment="1" applyProtection="1">
      <alignment vertical="center"/>
      <protection locked="0"/>
    </xf>
    <xf numFmtId="167" fontId="1" fillId="13" borderId="46" xfId="0" applyNumberFormat="1" applyFont="1" applyFill="1" applyBorder="1" applyAlignment="1" applyProtection="1">
      <alignment vertical="center"/>
      <protection locked="0"/>
    </xf>
    <xf numFmtId="167" fontId="5" fillId="17" borderId="7" xfId="0" applyNumberFormat="1" applyFont="1" applyFill="1" applyBorder="1" applyAlignment="1">
      <alignment horizontal="right"/>
    </xf>
    <xf numFmtId="167" fontId="5" fillId="17" borderId="48" xfId="0" applyNumberFormat="1" applyFont="1" applyFill="1" applyBorder="1" applyAlignment="1">
      <alignment horizontal="right"/>
    </xf>
    <xf numFmtId="167" fontId="15" fillId="17" borderId="29" xfId="0" applyNumberFormat="1" applyFont="1" applyFill="1" applyBorder="1" applyAlignment="1">
      <alignment horizontal="right"/>
    </xf>
    <xf numFmtId="167" fontId="5" fillId="17" borderId="30" xfId="0" applyNumberFormat="1" applyFont="1" applyFill="1" applyBorder="1" applyAlignment="1">
      <alignment horizontal="right"/>
    </xf>
    <xf numFmtId="167" fontId="5" fillId="7" borderId="3" xfId="0" applyNumberFormat="1" applyFont="1" applyFill="1" applyBorder="1" applyAlignment="1">
      <alignment horizontal="right"/>
    </xf>
    <xf numFmtId="0" fontId="5" fillId="0" borderId="8" xfId="0" applyNumberFormat="1" applyFont="1" applyBorder="1" applyAlignment="1">
      <alignment horizontal="right"/>
    </xf>
    <xf numFmtId="167" fontId="5" fillId="7" borderId="5" xfId="0" applyNumberFormat="1" applyFont="1" applyFill="1" applyBorder="1" applyAlignment="1">
      <alignment horizontal="right"/>
    </xf>
    <xf numFmtId="167" fontId="5" fillId="7" borderId="53" xfId="0" applyNumberFormat="1" applyFont="1" applyFill="1" applyBorder="1" applyAlignment="1">
      <alignment horizontal="right"/>
    </xf>
    <xf numFmtId="167" fontId="5" fillId="7" borderId="54" xfId="0" applyNumberFormat="1" applyFont="1" applyFill="1" applyBorder="1" applyAlignment="1">
      <alignment horizontal="right"/>
    </xf>
    <xf numFmtId="0" fontId="5" fillId="0" borderId="57" xfId="0" applyNumberFormat="1" applyFont="1" applyBorder="1" applyAlignment="1">
      <alignment horizontal="right"/>
    </xf>
    <xf numFmtId="167" fontId="5" fillId="7" borderId="55" xfId="0" applyNumberFormat="1" applyFont="1" applyFill="1" applyBorder="1" applyAlignment="1">
      <alignment horizontal="right"/>
    </xf>
    <xf numFmtId="170" fontId="5" fillId="17" borderId="7" xfId="0" applyNumberFormat="1" applyFont="1" applyFill="1" applyBorder="1" applyAlignment="1">
      <alignment horizontal="right"/>
    </xf>
    <xf numFmtId="164" fontId="5" fillId="17" borderId="48" xfId="0" applyNumberFormat="1" applyFont="1" applyFill="1" applyBorder="1" applyAlignment="1">
      <alignment horizontal="right"/>
    </xf>
    <xf numFmtId="170" fontId="5" fillId="17" borderId="30" xfId="0" applyNumberFormat="1" applyFont="1" applyFill="1" applyBorder="1" applyAlignment="1">
      <alignment horizontal="right"/>
    </xf>
    <xf numFmtId="164" fontId="5" fillId="17" borderId="7" xfId="0" applyNumberFormat="1" applyFont="1" applyFill="1" applyBorder="1" applyAlignment="1">
      <alignment horizontal="right"/>
    </xf>
    <xf numFmtId="164" fontId="15" fillId="17" borderId="29" xfId="0" applyNumberFormat="1" applyFont="1" applyFill="1" applyBorder="1" applyAlignment="1">
      <alignment horizontal="right"/>
    </xf>
    <xf numFmtId="164" fontId="5" fillId="17" borderId="30" xfId="0" applyNumberFormat="1" applyFont="1" applyFill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0" fontId="5" fillId="0" borderId="5" xfId="0" applyNumberFormat="1" applyFont="1" applyBorder="1" applyAlignment="1">
      <alignment horizontal="right"/>
    </xf>
    <xf numFmtId="0" fontId="5" fillId="0" borderId="53" xfId="0" applyNumberFormat="1" applyFont="1" applyBorder="1" applyAlignment="1">
      <alignment horizontal="right"/>
    </xf>
    <xf numFmtId="0" fontId="5" fillId="0" borderId="54" xfId="0" applyNumberFormat="1" applyFont="1" applyBorder="1" applyAlignment="1">
      <alignment horizontal="right"/>
    </xf>
    <xf numFmtId="0" fontId="5" fillId="0" borderId="55" xfId="0" applyNumberFormat="1" applyFont="1" applyBorder="1" applyAlignment="1">
      <alignment horizontal="right"/>
    </xf>
    <xf numFmtId="170" fontId="5" fillId="17" borderId="48" xfId="0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7" fontId="15" fillId="0" borderId="8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164" fontId="5" fillId="0" borderId="53" xfId="0" applyNumberFormat="1" applyFont="1" applyBorder="1" applyAlignment="1">
      <alignment horizontal="right"/>
    </xf>
    <xf numFmtId="164" fontId="5" fillId="0" borderId="54" xfId="0" applyNumberFormat="1" applyFont="1" applyBorder="1" applyAlignment="1">
      <alignment horizontal="right"/>
    </xf>
    <xf numFmtId="164" fontId="15" fillId="0" borderId="57" xfId="0" applyNumberFormat="1" applyFont="1" applyBorder="1" applyAlignment="1">
      <alignment horizontal="right"/>
    </xf>
    <xf numFmtId="164" fontId="5" fillId="0" borderId="55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70" fontId="15" fillId="17" borderId="7" xfId="0" applyNumberFormat="1" applyFont="1" applyFill="1" applyBorder="1" applyAlignment="1">
      <alignment horizontal="right"/>
    </xf>
    <xf numFmtId="170" fontId="15" fillId="17" borderId="48" xfId="0" applyNumberFormat="1" applyFont="1" applyFill="1" applyBorder="1" applyAlignment="1">
      <alignment horizontal="right"/>
    </xf>
    <xf numFmtId="170" fontId="15" fillId="17" borderId="29" xfId="0" applyNumberFormat="1" applyFont="1" applyFill="1" applyBorder="1" applyAlignment="1">
      <alignment horizontal="right"/>
    </xf>
    <xf numFmtId="170" fontId="15" fillId="17" borderId="30" xfId="0" applyNumberFormat="1" applyFont="1" applyFill="1" applyBorder="1" applyAlignment="1">
      <alignment horizontal="right"/>
    </xf>
    <xf numFmtId="170" fontId="15" fillId="0" borderId="3" xfId="0" applyNumberFormat="1" applyFont="1" applyBorder="1" applyAlignment="1">
      <alignment horizontal="right"/>
    </xf>
    <xf numFmtId="170" fontId="15" fillId="0" borderId="8" xfId="0" applyNumberFormat="1" applyFont="1" applyBorder="1" applyAlignment="1">
      <alignment horizontal="right"/>
    </xf>
    <xf numFmtId="170" fontId="15" fillId="0" borderId="5" xfId="0" applyNumberFormat="1" applyFont="1" applyBorder="1" applyAlignment="1">
      <alignment horizontal="right"/>
    </xf>
    <xf numFmtId="170" fontId="15" fillId="0" borderId="18" xfId="0" applyNumberFormat="1" applyFont="1" applyBorder="1" applyAlignment="1">
      <alignment horizontal="right"/>
    </xf>
    <xf numFmtId="170" fontId="15" fillId="0" borderId="19" xfId="0" applyNumberFormat="1" applyFont="1" applyBorder="1" applyAlignment="1">
      <alignment horizontal="right"/>
    </xf>
    <xf numFmtId="170" fontId="15" fillId="0" borderId="20" xfId="0" applyNumberFormat="1" applyFont="1" applyBorder="1" applyAlignment="1">
      <alignment horizontal="right"/>
    </xf>
    <xf numFmtId="167" fontId="2" fillId="5" borderId="37" xfId="0" applyNumberFormat="1" applyFont="1" applyFill="1" applyBorder="1" applyAlignment="1"/>
    <xf numFmtId="0" fontId="1" fillId="0" borderId="58" xfId="0" applyFont="1" applyBorder="1" applyAlignment="1">
      <alignment horizontal="center" vertical="center"/>
    </xf>
    <xf numFmtId="167" fontId="2" fillId="5" borderId="36" xfId="0" applyNumberFormat="1" applyFont="1" applyFill="1" applyBorder="1" applyAlignment="1"/>
    <xf numFmtId="167" fontId="1" fillId="13" borderId="6" xfId="0" applyNumberFormat="1" applyFont="1" applyFill="1" applyBorder="1" applyAlignment="1" applyProtection="1">
      <protection locked="0"/>
    </xf>
    <xf numFmtId="167" fontId="1" fillId="0" borderId="6" xfId="0" applyNumberFormat="1" applyFont="1" applyFill="1" applyBorder="1" applyAlignment="1"/>
    <xf numFmtId="167" fontId="1" fillId="13" borderId="17" xfId="0" applyNumberFormat="1" applyFont="1" applyFill="1" applyBorder="1" applyAlignment="1" applyProtection="1">
      <protection locked="0"/>
    </xf>
    <xf numFmtId="167" fontId="2" fillId="5" borderId="4" xfId="0" applyNumberFormat="1" applyFont="1" applyFill="1" applyBorder="1" applyAlignment="1"/>
    <xf numFmtId="0" fontId="5" fillId="21" borderId="4" xfId="0" applyNumberFormat="1" applyFont="1" applyFill="1" applyBorder="1" applyAlignment="1">
      <alignment horizontal="left" wrapText="1"/>
    </xf>
    <xf numFmtId="0" fontId="15" fillId="21" borderId="4" xfId="0" applyNumberFormat="1" applyFont="1" applyFill="1" applyBorder="1" applyAlignment="1">
      <alignment horizontal="left" wrapText="1"/>
    </xf>
    <xf numFmtId="0" fontId="15" fillId="21" borderId="16" xfId="0" applyNumberFormat="1" applyFont="1" applyFill="1" applyBorder="1" applyAlignment="1">
      <alignment horizontal="left" wrapText="1"/>
    </xf>
    <xf numFmtId="167" fontId="5" fillId="22" borderId="1" xfId="0" applyNumberFormat="1" applyFont="1" applyFill="1" applyBorder="1" applyAlignment="1">
      <alignment horizontal="right"/>
    </xf>
    <xf numFmtId="167" fontId="5" fillId="22" borderId="53" xfId="0" applyNumberFormat="1" applyFont="1" applyFill="1" applyBorder="1" applyAlignment="1">
      <alignment horizontal="right"/>
    </xf>
    <xf numFmtId="167" fontId="1" fillId="4" borderId="4" xfId="0" applyNumberFormat="1" applyFont="1" applyFill="1" applyBorder="1" applyAlignment="1">
      <alignment horizontal="right" vertical="center"/>
    </xf>
    <xf numFmtId="167" fontId="1" fillId="23" borderId="5" xfId="0" applyNumberFormat="1" applyFont="1" applyFill="1" applyBorder="1" applyAlignment="1">
      <alignment horizontal="right" vertical="center"/>
    </xf>
    <xf numFmtId="167" fontId="5" fillId="22" borderId="3" xfId="0" applyNumberFormat="1" applyFont="1" applyFill="1" applyBorder="1" applyAlignment="1">
      <alignment horizontal="right"/>
    </xf>
    <xf numFmtId="167" fontId="5" fillId="22" borderId="5" xfId="0" applyNumberFormat="1" applyFont="1" applyFill="1" applyBorder="1" applyAlignment="1">
      <alignment horizontal="right"/>
    </xf>
    <xf numFmtId="167" fontId="5" fillId="22" borderId="54" xfId="0" applyNumberFormat="1" applyFont="1" applyFill="1" applyBorder="1" applyAlignment="1">
      <alignment horizontal="right"/>
    </xf>
    <xf numFmtId="167" fontId="5" fillId="22" borderId="55" xfId="0" applyNumberFormat="1" applyFont="1" applyFill="1" applyBorder="1" applyAlignment="1">
      <alignment horizontal="right"/>
    </xf>
    <xf numFmtId="167" fontId="5" fillId="22" borderId="6" xfId="0" applyNumberFormat="1" applyFont="1" applyFill="1" applyBorder="1" applyAlignment="1">
      <alignment horizontal="right"/>
    </xf>
    <xf numFmtId="167" fontId="5" fillId="22" borderId="15" xfId="0" applyNumberFormat="1" applyFont="1" applyFill="1" applyBorder="1" applyAlignment="1">
      <alignment horizontal="right"/>
    </xf>
    <xf numFmtId="0" fontId="5" fillId="21" borderId="23" xfId="0" applyNumberFormat="1" applyFont="1" applyFill="1" applyBorder="1" applyAlignment="1">
      <alignment horizontal="left" wrapText="1"/>
    </xf>
    <xf numFmtId="0" fontId="15" fillId="21" borderId="23" xfId="0" applyNumberFormat="1" applyFont="1" applyFill="1" applyBorder="1" applyAlignment="1">
      <alignment horizontal="left" wrapText="1"/>
    </xf>
    <xf numFmtId="0" fontId="15" fillId="21" borderId="38" xfId="0" applyNumberFormat="1" applyFont="1" applyFill="1" applyBorder="1" applyAlignment="1">
      <alignment horizontal="left" wrapText="1"/>
    </xf>
    <xf numFmtId="0" fontId="29" fillId="0" borderId="0" xfId="0" applyFont="1"/>
    <xf numFmtId="0" fontId="30" fillId="0" borderId="0" xfId="0" applyFont="1" applyFill="1"/>
    <xf numFmtId="0" fontId="1" fillId="0" borderId="0" xfId="0" applyFont="1" applyBorder="1" applyAlignment="1">
      <alignment horizontal="left" wrapText="1"/>
    </xf>
    <xf numFmtId="168" fontId="1" fillId="11" borderId="0" xfId="0" applyNumberFormat="1" applyFont="1" applyFill="1" applyBorder="1" applyAlignment="1">
      <alignment horizontal="center"/>
    </xf>
    <xf numFmtId="169" fontId="14" fillId="8" borderId="1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indent="2"/>
    </xf>
    <xf numFmtId="0" fontId="22" fillId="0" borderId="36" xfId="0" applyFont="1" applyFill="1" applyBorder="1" applyAlignment="1">
      <alignment horizontal="left" vertical="center" wrapText="1" indent="3"/>
    </xf>
    <xf numFmtId="0" fontId="14" fillId="0" borderId="6" xfId="0" applyFont="1" applyFill="1" applyBorder="1" applyAlignment="1">
      <alignment horizontal="left" vertical="center" indent="2"/>
    </xf>
    <xf numFmtId="0" fontId="6" fillId="0" borderId="6" xfId="0" applyFont="1" applyFill="1" applyBorder="1" applyAlignment="1">
      <alignment horizontal="left" vertical="center" indent="3"/>
    </xf>
    <xf numFmtId="0" fontId="1" fillId="0" borderId="6" xfId="0" applyFont="1" applyFill="1" applyBorder="1" applyAlignment="1">
      <alignment horizontal="left" vertical="center" wrapText="1" indent="2"/>
    </xf>
    <xf numFmtId="0" fontId="6" fillId="0" borderId="6" xfId="0" applyFont="1" applyFill="1" applyBorder="1" applyAlignment="1">
      <alignment horizontal="left" vertical="center" wrapText="1" indent="3"/>
    </xf>
    <xf numFmtId="0" fontId="1" fillId="0" borderId="6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3" fillId="0" borderId="23" xfId="0" applyFont="1" applyBorder="1" applyAlignment="1">
      <alignment horizontal="center" vertical="center"/>
    </xf>
    <xf numFmtId="169" fontId="14" fillId="7" borderId="1" xfId="0" applyNumberFormat="1" applyFont="1" applyFill="1" applyBorder="1" applyAlignment="1">
      <alignment vertical="center"/>
    </xf>
    <xf numFmtId="169" fontId="14" fillId="0" borderId="0" xfId="0" applyNumberFormat="1" applyFont="1" applyFill="1" applyBorder="1" applyAlignment="1">
      <alignment vertical="center"/>
    </xf>
    <xf numFmtId="169" fontId="14" fillId="9" borderId="1" xfId="0" applyNumberFormat="1" applyFont="1" applyFill="1" applyBorder="1" applyAlignment="1">
      <alignment vertical="center"/>
    </xf>
    <xf numFmtId="164" fontId="2" fillId="4" borderId="29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2" fillId="4" borderId="8" xfId="0" applyNumberFormat="1" applyFont="1" applyFill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6" fillId="3" borderId="5" xfId="0" applyNumberFormat="1" applyFont="1" applyFill="1" applyBorder="1" applyAlignment="1" applyProtection="1">
      <alignment horizontal="right" vertical="center"/>
      <protection locked="0"/>
    </xf>
    <xf numFmtId="164" fontId="6" fillId="3" borderId="4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horizontal="right" vertical="center"/>
      <protection locked="0"/>
    </xf>
    <xf numFmtId="164" fontId="6" fillId="3" borderId="3" xfId="0" applyNumberFormat="1" applyFont="1" applyFill="1" applyBorder="1" applyAlignment="1" applyProtection="1">
      <alignment horizontal="right" vertical="center"/>
      <protection locked="0"/>
    </xf>
    <xf numFmtId="164" fontId="2" fillId="15" borderId="8" xfId="0" applyNumberFormat="1" applyFont="1" applyFill="1" applyBorder="1" applyAlignment="1">
      <alignment horizontal="right" vertical="center"/>
    </xf>
    <xf numFmtId="164" fontId="1" fillId="0" borderId="4" xfId="0" applyNumberFormat="1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4" fontId="6" fillId="6" borderId="1" xfId="0" applyNumberFormat="1" applyFont="1" applyFill="1" applyBorder="1" applyAlignment="1">
      <alignment horizontal="right" vertical="center"/>
    </xf>
    <xf numFmtId="164" fontId="6" fillId="6" borderId="4" xfId="0" applyNumberFormat="1" applyFont="1" applyFill="1" applyBorder="1" applyAlignment="1">
      <alignment horizontal="right" vertical="center"/>
    </xf>
    <xf numFmtId="164" fontId="6" fillId="6" borderId="3" xfId="0" applyNumberFormat="1" applyFont="1" applyFill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" fillId="0" borderId="20" xfId="0" applyNumberFormat="1" applyFont="1" applyBorder="1" applyAlignment="1">
      <alignment horizontal="right" vertical="center"/>
    </xf>
    <xf numFmtId="164" fontId="1" fillId="0" borderId="21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7" fontId="2" fillId="5" borderId="29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left" vertical="center" wrapText="1" indent="1"/>
    </xf>
    <xf numFmtId="0" fontId="1" fillId="0" borderId="36" xfId="0" applyFont="1" applyBorder="1" applyAlignment="1">
      <alignment horizontal="left" vertical="center" indent="2"/>
    </xf>
    <xf numFmtId="0" fontId="2" fillId="4" borderId="36" xfId="0" applyFont="1" applyFill="1" applyBorder="1" applyAlignment="1">
      <alignment horizontal="left" vertical="center" wrapText="1" indent="1"/>
    </xf>
    <xf numFmtId="0" fontId="1" fillId="0" borderId="47" xfId="0" applyFont="1" applyBorder="1" applyAlignment="1">
      <alignment horizontal="left" vertical="center" indent="2"/>
    </xf>
    <xf numFmtId="167" fontId="7" fillId="0" borderId="0" xfId="1" applyNumberFormat="1" applyFont="1" applyAlignment="1">
      <alignment horizontal="right"/>
    </xf>
    <xf numFmtId="167" fontId="7" fillId="0" borderId="0" xfId="1" applyNumberFormat="1" applyFont="1" applyAlignment="1">
      <alignment horizontal="right" vertical="center"/>
    </xf>
    <xf numFmtId="3" fontId="2" fillId="5" borderId="0" xfId="0" applyNumberFormat="1" applyFont="1" applyFill="1" applyBorder="1" applyAlignment="1">
      <alignment vertical="top"/>
    </xf>
    <xf numFmtId="3" fontId="2" fillId="5" borderId="62" xfId="0" applyNumberFormat="1" applyFont="1" applyFill="1" applyBorder="1" applyAlignment="1">
      <alignment vertical="top"/>
    </xf>
    <xf numFmtId="167" fontId="2" fillId="4" borderId="6" xfId="0" applyNumberFormat="1" applyFont="1" applyFill="1" applyBorder="1" applyAlignment="1">
      <alignment vertical="top"/>
    </xf>
    <xf numFmtId="167" fontId="2" fillId="4" borderId="1" xfId="0" applyNumberFormat="1" applyFont="1" applyFill="1" applyBorder="1" applyAlignment="1">
      <alignment vertical="top"/>
    </xf>
    <xf numFmtId="167" fontId="2" fillId="4" borderId="15" xfId="0" applyNumberFormat="1" applyFont="1" applyFill="1" applyBorder="1" applyAlignment="1">
      <alignment vertical="top"/>
    </xf>
    <xf numFmtId="167" fontId="1" fillId="0" borderId="6" xfId="0" applyNumberFormat="1" applyFont="1" applyBorder="1" applyAlignment="1">
      <alignment vertical="top"/>
    </xf>
    <xf numFmtId="167" fontId="1" fillId="0" borderId="1" xfId="0" applyNumberFormat="1" applyFont="1" applyBorder="1" applyAlignment="1">
      <alignment vertical="top"/>
    </xf>
    <xf numFmtId="167" fontId="1" fillId="0" borderId="15" xfId="0" applyNumberFormat="1" applyFont="1" applyBorder="1" applyAlignment="1">
      <alignment vertical="top"/>
    </xf>
    <xf numFmtId="167" fontId="2" fillId="0" borderId="4" xfId="0" applyNumberFormat="1" applyFont="1" applyFill="1" applyBorder="1" applyAlignment="1"/>
    <xf numFmtId="167" fontId="2" fillId="2" borderId="4" xfId="0" applyNumberFormat="1" applyFont="1" applyFill="1" applyBorder="1" applyAlignment="1"/>
    <xf numFmtId="167" fontId="2" fillId="2" borderId="59" xfId="0" applyNumberFormat="1" applyFont="1" applyFill="1" applyBorder="1" applyAlignment="1"/>
    <xf numFmtId="167" fontId="1" fillId="10" borderId="9" xfId="0" applyNumberFormat="1" applyFont="1" applyFill="1" applyBorder="1" applyAlignment="1"/>
    <xf numFmtId="167" fontId="1" fillId="10" borderId="6" xfId="0" applyNumberFormat="1" applyFont="1" applyFill="1" applyBorder="1" applyAlignment="1"/>
    <xf numFmtId="167" fontId="2" fillId="0" borderId="36" xfId="0" applyNumberFormat="1" applyFont="1" applyFill="1" applyBorder="1" applyAlignment="1"/>
    <xf numFmtId="167" fontId="2" fillId="2" borderId="36" xfId="0" applyNumberFormat="1" applyFont="1" applyFill="1" applyBorder="1" applyAlignment="1"/>
    <xf numFmtId="167" fontId="2" fillId="2" borderId="47" xfId="0" applyNumberFormat="1" applyFont="1" applyFill="1" applyBorder="1" applyAlignment="1"/>
    <xf numFmtId="165" fontId="16" fillId="0" borderId="32" xfId="1" applyFont="1" applyBorder="1" applyAlignment="1">
      <alignment horizontal="center" vertical="center" wrapText="1"/>
    </xf>
    <xf numFmtId="165" fontId="16" fillId="0" borderId="33" xfId="1" applyFont="1" applyBorder="1" applyAlignment="1">
      <alignment horizontal="center" vertical="center" wrapText="1"/>
    </xf>
    <xf numFmtId="171" fontId="16" fillId="0" borderId="60" xfId="1" applyNumberFormat="1" applyFont="1" applyBorder="1" applyAlignment="1">
      <alignment vertical="center"/>
    </xf>
    <xf numFmtId="0" fontId="1" fillId="0" borderId="9" xfId="0" applyFont="1" applyBorder="1" applyAlignment="1">
      <alignment horizontal="left" indent="1"/>
    </xf>
    <xf numFmtId="0" fontId="1" fillId="0" borderId="14" xfId="0" applyFont="1" applyBorder="1" applyAlignment="1">
      <alignment horizontal="center"/>
    </xf>
    <xf numFmtId="171" fontId="8" fillId="0" borderId="9" xfId="1" applyNumberFormat="1" applyFont="1" applyBorder="1" applyAlignment="1">
      <alignment vertical="center"/>
    </xf>
    <xf numFmtId="165" fontId="16" fillId="0" borderId="61" xfId="1" applyFont="1" applyBorder="1" applyAlignment="1">
      <alignment horizontal="center" vertical="center" wrapText="1"/>
    </xf>
    <xf numFmtId="165" fontId="16" fillId="0" borderId="31" xfId="1" applyFont="1" applyBorder="1" applyAlignment="1">
      <alignment horizontal="center" vertical="center" wrapText="1"/>
    </xf>
    <xf numFmtId="165" fontId="16" fillId="0" borderId="27" xfId="1" applyFont="1" applyBorder="1" applyAlignment="1">
      <alignment horizontal="center" vertical="center" wrapText="1"/>
    </xf>
    <xf numFmtId="165" fontId="16" fillId="0" borderId="26" xfId="1" applyFont="1" applyBorder="1" applyAlignment="1">
      <alignment horizontal="center" vertical="center" wrapText="1"/>
    </xf>
    <xf numFmtId="165" fontId="16" fillId="0" borderId="34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indent="2"/>
    </xf>
    <xf numFmtId="0" fontId="5" fillId="2" borderId="15" xfId="0" applyFont="1" applyFill="1" applyBorder="1" applyAlignment="1">
      <alignment horizontal="center" vertical="top"/>
    </xf>
    <xf numFmtId="0" fontId="2" fillId="5" borderId="28" xfId="0" applyFont="1" applyFill="1" applyBorder="1" applyAlignment="1">
      <alignment horizontal="left" vertical="top"/>
    </xf>
    <xf numFmtId="0" fontId="2" fillId="5" borderId="28" xfId="0" applyFont="1" applyFill="1" applyBorder="1" applyAlignment="1">
      <alignment horizontal="left" vertical="top" wrapText="1" indent="1"/>
    </xf>
    <xf numFmtId="0" fontId="2" fillId="5" borderId="6" xfId="0" applyFont="1" applyFill="1" applyBorder="1" applyAlignment="1">
      <alignment horizontal="left" vertical="top" wrapText="1" indent="1"/>
    </xf>
    <xf numFmtId="0" fontId="15" fillId="5" borderId="15" xfId="0" applyFont="1" applyFill="1" applyBorder="1" applyAlignment="1">
      <alignment horizontal="center" vertical="top"/>
    </xf>
    <xf numFmtId="0" fontId="15" fillId="5" borderId="0" xfId="0" applyFont="1" applyFill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2" fillId="4" borderId="6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 wrapText="1" indent="2"/>
    </xf>
    <xf numFmtId="0" fontId="1" fillId="0" borderId="6" xfId="0" applyFont="1" applyBorder="1" applyAlignment="1">
      <alignment horizontal="left" indent="3"/>
    </xf>
    <xf numFmtId="0" fontId="1" fillId="0" borderId="17" xfId="0" applyFont="1" applyBorder="1" applyAlignment="1">
      <alignment horizontal="left" indent="2"/>
    </xf>
    <xf numFmtId="0" fontId="5" fillId="2" borderId="22" xfId="0" applyFont="1" applyFill="1" applyBorder="1" applyAlignment="1">
      <alignment horizontal="center" vertical="top"/>
    </xf>
    <xf numFmtId="3" fontId="2" fillId="5" borderId="42" xfId="0" applyNumberFormat="1" applyFont="1" applyFill="1" applyBorder="1" applyAlignment="1">
      <alignment vertical="top"/>
    </xf>
    <xf numFmtId="3" fontId="2" fillId="5" borderId="67" xfId="0" applyNumberFormat="1" applyFont="1" applyFill="1" applyBorder="1" applyAlignment="1">
      <alignment vertical="top"/>
    </xf>
    <xf numFmtId="167" fontId="1" fillId="0" borderId="17" xfId="0" applyNumberFormat="1" applyFont="1" applyBorder="1" applyAlignment="1">
      <alignment vertical="top"/>
    </xf>
    <xf numFmtId="167" fontId="1" fillId="0" borderId="21" xfId="0" applyNumberFormat="1" applyFont="1" applyBorder="1" applyAlignment="1">
      <alignment vertical="top"/>
    </xf>
    <xf numFmtId="167" fontId="1" fillId="0" borderId="22" xfId="0" applyNumberFormat="1" applyFont="1" applyBorder="1" applyAlignment="1">
      <alignment vertical="top"/>
    </xf>
    <xf numFmtId="166" fontId="1" fillId="2" borderId="17" xfId="0" applyNumberFormat="1" applyFont="1" applyFill="1" applyBorder="1" applyAlignment="1">
      <alignment horizontal="center" vertical="center"/>
    </xf>
    <xf numFmtId="166" fontId="1" fillId="2" borderId="21" xfId="0" applyNumberFormat="1" applyFont="1" applyFill="1" applyBorder="1" applyAlignment="1">
      <alignment horizontal="center" vertical="center"/>
    </xf>
    <xf numFmtId="166" fontId="1" fillId="2" borderId="22" xfId="0" applyNumberFormat="1" applyFont="1" applyFill="1" applyBorder="1" applyAlignment="1">
      <alignment horizontal="center" vertical="center"/>
    </xf>
    <xf numFmtId="3" fontId="2" fillId="5" borderId="64" xfId="0" applyNumberFormat="1" applyFont="1" applyFill="1" applyBorder="1" applyAlignment="1">
      <alignment vertical="top"/>
    </xf>
    <xf numFmtId="0" fontId="15" fillId="5" borderId="3" xfId="0" applyFont="1" applyFill="1" applyBorder="1" applyAlignment="1">
      <alignment horizontal="center" vertical="top"/>
    </xf>
    <xf numFmtId="0" fontId="2" fillId="5" borderId="36" xfId="0" applyFont="1" applyFill="1" applyBorder="1" applyAlignment="1">
      <alignment horizontal="left" vertical="top"/>
    </xf>
    <xf numFmtId="0" fontId="15" fillId="5" borderId="4" xfId="0" applyFont="1" applyFill="1" applyBorder="1" applyAlignment="1">
      <alignment horizontal="center" vertical="top"/>
    </xf>
    <xf numFmtId="3" fontId="2" fillId="5" borderId="4" xfId="0" applyNumberFormat="1" applyFont="1" applyFill="1" applyBorder="1" applyAlignment="1">
      <alignment vertical="top"/>
    </xf>
    <xf numFmtId="0" fontId="15" fillId="5" borderId="15" xfId="0" applyFont="1" applyFill="1" applyBorder="1" applyAlignment="1">
      <alignment horizontal="center" vertical="center"/>
    </xf>
    <xf numFmtId="167" fontId="2" fillId="4" borderId="6" xfId="0" applyNumberFormat="1" applyFont="1" applyFill="1" applyBorder="1" applyAlignment="1">
      <alignment vertical="center"/>
    </xf>
    <xf numFmtId="167" fontId="2" fillId="4" borderId="1" xfId="0" applyNumberFormat="1" applyFont="1" applyFill="1" applyBorder="1" applyAlignment="1">
      <alignment vertical="center"/>
    </xf>
    <xf numFmtId="167" fontId="2" fillId="4" borderId="15" xfId="0" applyNumberFormat="1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 wrapText="1" indent="1"/>
    </xf>
    <xf numFmtId="0" fontId="2" fillId="5" borderId="6" xfId="0" applyFont="1" applyFill="1" applyBorder="1" applyAlignment="1">
      <alignment horizontal="left" vertical="center" wrapText="1" indent="2"/>
    </xf>
    <xf numFmtId="0" fontId="2" fillId="5" borderId="36" xfId="0" applyFont="1" applyFill="1" applyBorder="1" applyAlignment="1">
      <alignment horizontal="left" vertical="center" wrapText="1" indent="1"/>
    </xf>
    <xf numFmtId="3" fontId="2" fillId="5" borderId="16" xfId="0" applyNumberFormat="1" applyFont="1" applyFill="1" applyBorder="1" applyAlignment="1">
      <alignment vertical="top"/>
    </xf>
    <xf numFmtId="165" fontId="8" fillId="0" borderId="33" xfId="1" applyFont="1" applyBorder="1" applyAlignment="1">
      <alignment horizontal="center"/>
    </xf>
    <xf numFmtId="171" fontId="8" fillId="0" borderId="31" xfId="1" applyNumberFormat="1" applyFont="1" applyBorder="1" applyAlignment="1">
      <alignment vertical="center"/>
    </xf>
    <xf numFmtId="171" fontId="8" fillId="0" borderId="32" xfId="1" applyNumberFormat="1" applyFont="1" applyBorder="1" applyAlignment="1">
      <alignment vertical="center"/>
    </xf>
    <xf numFmtId="171" fontId="8" fillId="0" borderId="33" xfId="1" applyNumberFormat="1" applyFont="1" applyBorder="1" applyAlignment="1">
      <alignment vertical="center"/>
    </xf>
    <xf numFmtId="171" fontId="16" fillId="0" borderId="27" xfId="1" applyNumberFormat="1" applyFont="1" applyBorder="1" applyAlignment="1">
      <alignment vertical="center"/>
    </xf>
    <xf numFmtId="167" fontId="1" fillId="10" borderId="13" xfId="0" applyNumberFormat="1" applyFont="1" applyFill="1" applyBorder="1" applyAlignment="1"/>
    <xf numFmtId="167" fontId="1" fillId="10" borderId="14" xfId="0" applyNumberFormat="1" applyFont="1" applyFill="1" applyBorder="1" applyAlignment="1"/>
    <xf numFmtId="167" fontId="1" fillId="10" borderId="1" xfId="0" applyNumberFormat="1" applyFont="1" applyFill="1" applyBorder="1" applyAlignment="1"/>
    <xf numFmtId="167" fontId="1" fillId="10" borderId="15" xfId="0" applyNumberFormat="1" applyFont="1" applyFill="1" applyBorder="1" applyAlignment="1"/>
    <xf numFmtId="0" fontId="1" fillId="4" borderId="37" xfId="0" applyFont="1" applyFill="1" applyBorder="1" applyAlignment="1">
      <alignment horizontal="left"/>
    </xf>
    <xf numFmtId="0" fontId="1" fillId="4" borderId="36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167" fontId="1" fillId="4" borderId="30" xfId="0" applyNumberFormat="1" applyFont="1" applyFill="1" applyBorder="1" applyAlignment="1"/>
    <xf numFmtId="0" fontId="2" fillId="0" borderId="33" xfId="0" applyFont="1" applyBorder="1" applyAlignment="1">
      <alignment horizontal="center" vertical="center"/>
    </xf>
    <xf numFmtId="164" fontId="1" fillId="4" borderId="30" xfId="0" applyNumberFormat="1" applyFont="1" applyFill="1" applyBorder="1" applyAlignment="1">
      <alignment horizontal="right" vertical="center"/>
    </xf>
    <xf numFmtId="164" fontId="1" fillId="4" borderId="23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15" borderId="5" xfId="0" applyNumberFormat="1" applyFont="1" applyFill="1" applyBorder="1" applyAlignment="1">
      <alignment horizontal="right" vertical="center"/>
    </xf>
    <xf numFmtId="164" fontId="1" fillId="15" borderId="4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15" fillId="0" borderId="8" xfId="0" applyNumberFormat="1" applyFont="1" applyBorder="1" applyAlignment="1">
      <alignment horizontal="right" vertical="center"/>
    </xf>
    <xf numFmtId="167" fontId="6" fillId="6" borderId="1" xfId="0" applyNumberFormat="1" applyFont="1" applyFill="1" applyBorder="1" applyAlignment="1">
      <alignment horizontal="right" vertical="center"/>
    </xf>
    <xf numFmtId="164" fontId="32" fillId="24" borderId="5" xfId="0" applyNumberFormat="1" applyFont="1" applyFill="1" applyBorder="1" applyAlignment="1">
      <alignment horizontal="right" vertical="center"/>
    </xf>
    <xf numFmtId="167" fontId="8" fillId="0" borderId="0" xfId="1" applyNumberFormat="1" applyFont="1" applyAlignment="1">
      <alignment horizontal="right" vertical="center"/>
    </xf>
    <xf numFmtId="0" fontId="1" fillId="4" borderId="24" xfId="0" applyFont="1" applyFill="1" applyBorder="1" applyAlignment="1">
      <alignment horizontal="left" vertical="center" indent="1"/>
    </xf>
    <xf numFmtId="0" fontId="1" fillId="5" borderId="2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indent="1"/>
    </xf>
    <xf numFmtId="0" fontId="1" fillId="5" borderId="15" xfId="0" applyFont="1" applyFill="1" applyBorder="1" applyAlignment="1">
      <alignment horizontal="center" vertical="center"/>
    </xf>
    <xf numFmtId="0" fontId="1" fillId="15" borderId="6" xfId="0" applyFont="1" applyFill="1" applyBorder="1" applyAlignment="1">
      <alignment horizontal="left" vertical="center"/>
    </xf>
    <xf numFmtId="0" fontId="1" fillId="15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15" borderId="15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67" fontId="5" fillId="22" borderId="58" xfId="0" applyNumberFormat="1" applyFont="1" applyFill="1" applyBorder="1" applyAlignment="1">
      <alignment horizontal="right"/>
    </xf>
    <xf numFmtId="167" fontId="5" fillId="22" borderId="56" xfId="0" applyNumberFormat="1" applyFont="1" applyFill="1" applyBorder="1" applyAlignment="1">
      <alignment horizontal="right"/>
    </xf>
    <xf numFmtId="167" fontId="5" fillId="0" borderId="57" xfId="0" applyNumberFormat="1" applyFont="1" applyBorder="1" applyAlignment="1">
      <alignment horizontal="right"/>
    </xf>
    <xf numFmtId="0" fontId="5" fillId="21" borderId="64" xfId="0" applyNumberFormat="1" applyFont="1" applyFill="1" applyBorder="1" applyAlignment="1">
      <alignment horizontal="left" wrapText="1"/>
    </xf>
    <xf numFmtId="0" fontId="15" fillId="21" borderId="64" xfId="0" applyNumberFormat="1" applyFont="1" applyFill="1" applyBorder="1" applyAlignment="1">
      <alignment horizontal="left" wrapText="1"/>
    </xf>
    <xf numFmtId="0" fontId="15" fillId="21" borderId="65" xfId="0" applyNumberFormat="1" applyFont="1" applyFill="1" applyBorder="1" applyAlignment="1">
      <alignment horizontal="left" wrapText="1"/>
    </xf>
    <xf numFmtId="167" fontId="16" fillId="0" borderId="0" xfId="1" applyNumberFormat="1" applyFont="1" applyAlignment="1">
      <alignment horizontal="right" vertical="center"/>
    </xf>
    <xf numFmtId="167" fontId="1" fillId="4" borderId="30" xfId="0" applyNumberFormat="1" applyFont="1" applyFill="1" applyBorder="1" applyAlignment="1">
      <alignment vertical="center"/>
    </xf>
    <xf numFmtId="167" fontId="1" fillId="4" borderId="7" xfId="0" applyNumberFormat="1" applyFont="1" applyFill="1" applyBorder="1" applyAlignment="1">
      <alignment vertical="center"/>
    </xf>
    <xf numFmtId="167" fontId="1" fillId="4" borderId="48" xfId="0" applyNumberFormat="1" applyFont="1" applyFill="1" applyBorder="1" applyAlignment="1">
      <alignment vertical="center"/>
    </xf>
    <xf numFmtId="167" fontId="1" fillId="4" borderId="25" xfId="0" applyNumberFormat="1" applyFont="1" applyFill="1" applyBorder="1" applyAlignment="1">
      <alignment vertical="center"/>
    </xf>
    <xf numFmtId="167" fontId="2" fillId="2" borderId="8" xfId="0" applyNumberFormat="1" applyFont="1" applyFill="1" applyBorder="1" applyAlignment="1">
      <alignment vertical="center"/>
    </xf>
    <xf numFmtId="167" fontId="2" fillId="2" borderId="57" xfId="0" applyNumberFormat="1" applyFont="1" applyFill="1" applyBorder="1" applyAlignment="1">
      <alignment vertical="center"/>
    </xf>
    <xf numFmtId="167" fontId="2" fillId="2" borderId="19" xfId="0" applyNumberFormat="1" applyFont="1" applyFill="1" applyBorder="1" applyAlignment="1">
      <alignment vertical="center"/>
    </xf>
    <xf numFmtId="167" fontId="1" fillId="4" borderId="23" xfId="0" applyNumberFormat="1" applyFont="1" applyFill="1" applyBorder="1" applyAlignment="1"/>
    <xf numFmtId="167" fontId="1" fillId="4" borderId="30" xfId="0" applyNumberFormat="1" applyFont="1" applyFill="1" applyBorder="1" applyAlignment="1">
      <alignment horizontal="right"/>
    </xf>
    <xf numFmtId="167" fontId="1" fillId="4" borderId="23" xfId="0" applyNumberFormat="1" applyFont="1" applyFill="1" applyBorder="1" applyAlignment="1">
      <alignment horizontal="right"/>
    </xf>
    <xf numFmtId="167" fontId="1" fillId="4" borderId="38" xfId="0" applyNumberFormat="1" applyFont="1" applyFill="1" applyBorder="1" applyAlignment="1">
      <alignment horizontal="right"/>
    </xf>
    <xf numFmtId="167" fontId="1" fillId="4" borderId="24" xfId="0" applyNumberFormat="1" applyFont="1" applyFill="1" applyBorder="1" applyAlignment="1">
      <alignment horizontal="right"/>
    </xf>
    <xf numFmtId="0" fontId="5" fillId="21" borderId="29" xfId="0" applyNumberFormat="1" applyFont="1" applyFill="1" applyBorder="1" applyAlignment="1">
      <alignment horizontal="left" vertical="center" wrapText="1"/>
    </xf>
    <xf numFmtId="0" fontId="5" fillId="17" borderId="29" xfId="0" applyNumberFormat="1" applyFont="1" applyFill="1" applyBorder="1" applyAlignment="1">
      <alignment horizontal="left" vertical="center" wrapText="1" indent="1"/>
    </xf>
    <xf numFmtId="0" fontId="5" fillId="0" borderId="8" xfId="0" applyNumberFormat="1" applyFont="1" applyBorder="1" applyAlignment="1">
      <alignment horizontal="left" vertical="center" wrapText="1" indent="2"/>
    </xf>
    <xf numFmtId="0" fontId="5" fillId="0" borderId="57" xfId="0" applyNumberFormat="1" applyFont="1" applyBorder="1" applyAlignment="1">
      <alignment horizontal="left" vertical="center" wrapText="1" indent="2"/>
    </xf>
    <xf numFmtId="0" fontId="5" fillId="21" borderId="8" xfId="0" applyNumberFormat="1" applyFont="1" applyFill="1" applyBorder="1" applyAlignment="1">
      <alignment horizontal="left" vertical="center" wrapText="1"/>
    </xf>
    <xf numFmtId="0" fontId="5" fillId="16" borderId="8" xfId="0" applyNumberFormat="1" applyFont="1" applyFill="1" applyBorder="1" applyAlignment="1">
      <alignment horizontal="left" vertical="center" wrapText="1"/>
    </xf>
    <xf numFmtId="0" fontId="5" fillId="17" borderId="8" xfId="0" applyNumberFormat="1" applyFont="1" applyFill="1" applyBorder="1" applyAlignment="1">
      <alignment horizontal="left" vertical="center" wrapText="1" indent="1"/>
    </xf>
    <xf numFmtId="0" fontId="5" fillId="21" borderId="11" xfId="0" applyNumberFormat="1" applyFont="1" applyFill="1" applyBorder="1" applyAlignment="1">
      <alignment horizontal="left" vertical="center" wrapText="1"/>
    </xf>
    <xf numFmtId="0" fontId="5" fillId="0" borderId="19" xfId="0" applyNumberFormat="1" applyFont="1" applyBorder="1" applyAlignment="1">
      <alignment horizontal="left" vertical="center" wrapText="1" indent="2"/>
    </xf>
    <xf numFmtId="0" fontId="29" fillId="0" borderId="0" xfId="0" applyFont="1" applyBorder="1"/>
    <xf numFmtId="0" fontId="2" fillId="4" borderId="24" xfId="0" applyFont="1" applyFill="1" applyBorder="1" applyAlignment="1">
      <alignment vertical="center"/>
    </xf>
    <xf numFmtId="0" fontId="1" fillId="4" borderId="48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3" xfId="0" applyFont="1" applyFill="1" applyBorder="1" applyAlignment="1"/>
    <xf numFmtId="0" fontId="1" fillId="4" borderId="38" xfId="0" applyFont="1" applyFill="1" applyBorder="1" applyAlignment="1"/>
    <xf numFmtId="10" fontId="2" fillId="0" borderId="26" xfId="0" applyNumberFormat="1" applyFont="1" applyBorder="1" applyAlignment="1">
      <alignment horizontal="center"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167" fontId="1" fillId="12" borderId="6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/>
      <protection locked="0"/>
    </xf>
    <xf numFmtId="167" fontId="1" fillId="12" borderId="16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 vertical="center"/>
      <protection locked="0"/>
    </xf>
    <xf numFmtId="167" fontId="1" fillId="12" borderId="20" xfId="0" applyNumberFormat="1" applyFont="1" applyFill="1" applyBorder="1" applyAlignment="1" applyProtection="1">
      <alignment horizontal="right" vertical="center"/>
      <protection locked="0"/>
    </xf>
    <xf numFmtId="167" fontId="22" fillId="8" borderId="5" xfId="0" applyNumberFormat="1" applyFont="1" applyFill="1" applyBorder="1" applyAlignment="1" applyProtection="1">
      <alignment horizontal="right" vertical="center"/>
      <protection locked="0"/>
    </xf>
    <xf numFmtId="167" fontId="22" fillId="8" borderId="1" xfId="0" applyNumberFormat="1" applyFont="1" applyFill="1" applyBorder="1" applyAlignment="1" applyProtection="1">
      <alignment horizontal="right" vertical="center"/>
      <protection locked="0"/>
    </xf>
    <xf numFmtId="167" fontId="22" fillId="8" borderId="3" xfId="0" applyNumberFormat="1" applyFont="1" applyFill="1" applyBorder="1" applyAlignment="1" applyProtection="1">
      <alignment horizontal="right" vertical="center"/>
      <protection locked="0"/>
    </xf>
    <xf numFmtId="167" fontId="1" fillId="11" borderId="0" xfId="0" applyNumberFormat="1" applyFont="1" applyFill="1" applyBorder="1" applyAlignment="1" applyProtection="1"/>
    <xf numFmtId="167" fontId="2" fillId="4" borderId="29" xfId="0" applyNumberFormat="1" applyFont="1" applyFill="1" applyBorder="1" applyAlignment="1" applyProtection="1"/>
    <xf numFmtId="0" fontId="1" fillId="4" borderId="24" xfId="0" applyFont="1" applyFill="1" applyBorder="1" applyAlignment="1" applyProtection="1">
      <alignment horizontal="left" vertical="center" indent="1"/>
    </xf>
    <xf numFmtId="0" fontId="1" fillId="5" borderId="25" xfId="0" applyFont="1" applyFill="1" applyBorder="1" applyAlignment="1" applyProtection="1">
      <alignment horizontal="center" vertical="center"/>
    </xf>
    <xf numFmtId="164" fontId="1" fillId="4" borderId="30" xfId="0" applyNumberFormat="1" applyFont="1" applyFill="1" applyBorder="1" applyAlignment="1" applyProtection="1">
      <alignment horizontal="right" vertical="center"/>
    </xf>
    <xf numFmtId="164" fontId="1" fillId="4" borderId="23" xfId="0" applyNumberFormat="1" applyFont="1" applyFill="1" applyBorder="1" applyAlignment="1" applyProtection="1">
      <alignment horizontal="right" vertical="center"/>
    </xf>
    <xf numFmtId="164" fontId="2" fillId="4" borderId="29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2"/>
    </xf>
    <xf numFmtId="0" fontId="1" fillId="0" borderId="15" xfId="0" applyFont="1" applyFill="1" applyBorder="1" applyAlignment="1" applyProtection="1">
      <alignment horizontal="center" vertical="center"/>
    </xf>
    <xf numFmtId="164" fontId="1" fillId="0" borderId="5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right" vertical="center"/>
    </xf>
    <xf numFmtId="164" fontId="2" fillId="7" borderId="8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center" indent="1"/>
    </xf>
    <xf numFmtId="0" fontId="1" fillId="5" borderId="15" xfId="0" applyFont="1" applyFill="1" applyBorder="1" applyAlignment="1" applyProtection="1">
      <alignment horizontal="center" vertical="center"/>
    </xf>
    <xf numFmtId="164" fontId="1" fillId="4" borderId="5" xfId="0" applyNumberFormat="1" applyFont="1" applyFill="1" applyBorder="1" applyAlignment="1" applyProtection="1">
      <alignment horizontal="right" vertical="center"/>
    </xf>
    <xf numFmtId="164" fontId="1" fillId="4" borderId="4" xfId="0" applyNumberFormat="1" applyFont="1" applyFill="1" applyBorder="1" applyAlignment="1" applyProtection="1">
      <alignment horizontal="right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0" borderId="5" xfId="0" applyNumberFormat="1" applyFont="1" applyBorder="1" applyAlignment="1" applyProtection="1">
      <alignment horizontal="right" vertical="center"/>
    </xf>
    <xf numFmtId="164" fontId="1" fillId="0" borderId="4" xfId="0" applyNumberFormat="1" applyFont="1" applyBorder="1" applyAlignment="1" applyProtection="1">
      <alignment horizontal="right" vertical="center"/>
    </xf>
    <xf numFmtId="0" fontId="22" fillId="0" borderId="36" xfId="0" applyFont="1" applyFill="1" applyBorder="1" applyAlignment="1" applyProtection="1">
      <alignment horizontal="left" vertical="center" wrapText="1" indent="3"/>
    </xf>
    <xf numFmtId="0" fontId="6" fillId="2" borderId="15" xfId="0" applyFont="1" applyFill="1" applyBorder="1" applyAlignment="1" applyProtection="1">
      <alignment horizontal="center" vertical="center"/>
    </xf>
    <xf numFmtId="164" fontId="6" fillId="7" borderId="5" xfId="0" applyNumberFormat="1" applyFont="1" applyFill="1" applyBorder="1" applyAlignment="1" applyProtection="1">
      <alignment horizontal="right" vertical="center"/>
    </xf>
    <xf numFmtId="164" fontId="6" fillId="7" borderId="4" xfId="0" applyNumberFormat="1" applyFont="1" applyFill="1" applyBorder="1" applyAlignment="1" applyProtection="1">
      <alignment horizontal="right" vertical="center"/>
    </xf>
    <xf numFmtId="164" fontId="6" fillId="7" borderId="8" xfId="0" applyNumberFormat="1" applyFont="1" applyFill="1" applyBorder="1" applyAlignment="1" applyProtection="1">
      <alignment horizontal="right" vertical="center"/>
    </xf>
    <xf numFmtId="164" fontId="6" fillId="0" borderId="5" xfId="0" applyNumberFormat="1" applyFont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/>
    </xf>
    <xf numFmtId="0" fontId="14" fillId="0" borderId="6" xfId="0" applyFont="1" applyFill="1" applyBorder="1" applyAlignment="1" applyProtection="1">
      <alignment horizontal="left" vertical="center" indent="2"/>
    </xf>
    <xf numFmtId="164" fontId="1" fillId="4" borderId="1" xfId="0" applyNumberFormat="1" applyFont="1" applyFill="1" applyBorder="1" applyAlignment="1" applyProtection="1">
      <alignment horizontal="right" vertical="center"/>
    </xf>
    <xf numFmtId="164" fontId="1" fillId="4" borderId="3" xfId="0" applyNumberFormat="1" applyFont="1" applyFill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right" vertical="center"/>
    </xf>
    <xf numFmtId="164" fontId="1" fillId="0" borderId="3" xfId="0" applyNumberFormat="1" applyFont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left" vertical="center" indent="3"/>
    </xf>
    <xf numFmtId="0" fontId="6" fillId="0" borderId="15" xfId="0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14" borderId="5" xfId="0" applyNumberFormat="1" applyFont="1" applyFill="1" applyBorder="1" applyAlignment="1" applyProtection="1">
      <alignment horizontal="right" vertical="center"/>
    </xf>
    <xf numFmtId="164" fontId="6" fillId="14" borderId="4" xfId="0" applyNumberFormat="1" applyFont="1" applyFill="1" applyBorder="1" applyAlignment="1" applyProtection="1">
      <alignment horizontal="right" vertical="center"/>
    </xf>
    <xf numFmtId="0" fontId="1" fillId="15" borderId="6" xfId="0" applyFont="1" applyFill="1" applyBorder="1" applyAlignment="1" applyProtection="1">
      <alignment horizontal="left" vertical="center"/>
    </xf>
    <xf numFmtId="0" fontId="1" fillId="15" borderId="16" xfId="0" applyFont="1" applyFill="1" applyBorder="1" applyAlignment="1" applyProtection="1">
      <alignment horizontal="center" vertical="center"/>
    </xf>
    <xf numFmtId="164" fontId="1" fillId="15" borderId="5" xfId="0" applyNumberFormat="1" applyFont="1" applyFill="1" applyBorder="1" applyAlignment="1" applyProtection="1">
      <alignment horizontal="right" vertical="center"/>
    </xf>
    <xf numFmtId="164" fontId="1" fillId="15" borderId="4" xfId="0" applyNumberFormat="1" applyFont="1" applyFill="1" applyBorder="1" applyAlignment="1" applyProtection="1">
      <alignment horizontal="right" vertical="center"/>
    </xf>
    <xf numFmtId="164" fontId="2" fillId="15" borderId="8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1"/>
    </xf>
    <xf numFmtId="164" fontId="1" fillId="0" borderId="4" xfId="0" applyNumberFormat="1" applyFont="1" applyFill="1" applyBorder="1" applyAlignment="1" applyProtection="1">
      <alignment horizontal="right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left" vertical="center" wrapText="1" indent="2"/>
    </xf>
    <xf numFmtId="0" fontId="6" fillId="0" borderId="6" xfId="0" applyFont="1" applyFill="1" applyBorder="1" applyAlignment="1" applyProtection="1">
      <alignment horizontal="left" vertical="center" wrapText="1" indent="3"/>
    </xf>
    <xf numFmtId="164" fontId="6" fillId="20" borderId="5" xfId="0" applyNumberFormat="1" applyFont="1" applyFill="1" applyBorder="1" applyAlignment="1" applyProtection="1">
      <alignment horizontal="right" vertical="center"/>
    </xf>
    <xf numFmtId="164" fontId="6" fillId="20" borderId="4" xfId="0" applyNumberFormat="1" applyFont="1" applyFill="1" applyBorder="1" applyAlignment="1" applyProtection="1">
      <alignment horizontal="right" vertical="center"/>
    </xf>
    <xf numFmtId="164" fontId="2" fillId="0" borderId="8" xfId="0" applyNumberFormat="1" applyFont="1" applyBorder="1" applyAlignment="1" applyProtection="1">
      <alignment horizontal="right" vertical="center"/>
    </xf>
    <xf numFmtId="164" fontId="6" fillId="6" borderId="5" xfId="0" applyNumberFormat="1" applyFont="1" applyFill="1" applyBorder="1" applyAlignment="1" applyProtection="1">
      <alignment horizontal="right" vertical="center"/>
    </xf>
    <xf numFmtId="164" fontId="6" fillId="6" borderId="1" xfId="0" applyNumberFormat="1" applyFont="1" applyFill="1" applyBorder="1" applyAlignment="1" applyProtection="1">
      <alignment horizontal="right" vertical="center"/>
    </xf>
    <xf numFmtId="164" fontId="6" fillId="6" borderId="3" xfId="0" applyNumberFormat="1" applyFont="1" applyFill="1" applyBorder="1" applyAlignment="1" applyProtection="1">
      <alignment horizontal="right" vertical="center"/>
    </xf>
    <xf numFmtId="164" fontId="32" fillId="24" borderId="5" xfId="0" applyNumberFormat="1" applyFont="1" applyFill="1" applyBorder="1" applyAlignment="1" applyProtection="1">
      <alignment horizontal="right" vertical="center"/>
    </xf>
    <xf numFmtId="0" fontId="1" fillId="15" borderId="15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left" vertical="center" indent="1"/>
    </xf>
    <xf numFmtId="0" fontId="1" fillId="0" borderId="22" xfId="0" applyFont="1" applyBorder="1" applyAlignment="1" applyProtection="1">
      <alignment horizontal="center" vertical="center"/>
    </xf>
    <xf numFmtId="167" fontId="1" fillId="4" borderId="30" xfId="0" applyNumberFormat="1" applyFont="1" applyFill="1" applyBorder="1" applyAlignment="1" applyProtection="1">
      <alignment horizontal="right"/>
      <protection hidden="1"/>
    </xf>
    <xf numFmtId="167" fontId="1" fillId="4" borderId="13" xfId="0" applyNumberFormat="1" applyFont="1" applyFill="1" applyBorder="1" applyAlignment="1" applyProtection="1">
      <alignment horizontal="right"/>
      <protection hidden="1"/>
    </xf>
    <xf numFmtId="167" fontId="1" fillId="4" borderId="7" xfId="0" applyNumberFormat="1" applyFont="1" applyFill="1" applyBorder="1" applyAlignment="1" applyProtection="1">
      <alignment horizontal="right"/>
      <protection hidden="1"/>
    </xf>
    <xf numFmtId="167" fontId="2" fillId="4" borderId="8" xfId="0" applyNumberFormat="1" applyFont="1" applyFill="1" applyBorder="1" applyAlignment="1" applyProtection="1">
      <alignment horizontal="right"/>
    </xf>
    <xf numFmtId="167" fontId="1" fillId="4" borderId="5" xfId="0" applyNumberFormat="1" applyFont="1" applyFill="1" applyBorder="1" applyAlignment="1" applyProtection="1">
      <alignment horizontal="right"/>
      <protection hidden="1"/>
    </xf>
    <xf numFmtId="167" fontId="1" fillId="4" borderId="1" xfId="0" applyNumberFormat="1" applyFont="1" applyFill="1" applyBorder="1" applyAlignment="1" applyProtection="1">
      <alignment horizontal="right"/>
      <protection hidden="1"/>
    </xf>
    <xf numFmtId="164" fontId="1" fillId="0" borderId="30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0" borderId="49" xfId="0" applyNumberFormat="1" applyFont="1" applyBorder="1" applyAlignment="1">
      <alignment horizontal="right"/>
    </xf>
    <xf numFmtId="164" fontId="1" fillId="0" borderId="45" xfId="0" applyNumberFormat="1" applyFont="1" applyBorder="1" applyAlignment="1">
      <alignment horizontal="right"/>
    </xf>
    <xf numFmtId="164" fontId="1" fillId="0" borderId="46" xfId="0" applyNumberFormat="1" applyFont="1" applyBorder="1" applyAlignment="1">
      <alignment horizontal="right"/>
    </xf>
    <xf numFmtId="0" fontId="6" fillId="0" borderId="25" xfId="0" applyFont="1" applyBorder="1" applyAlignment="1">
      <alignment horizontal="center" vertical="center"/>
    </xf>
    <xf numFmtId="10" fontId="2" fillId="0" borderId="60" xfId="0" applyNumberFormat="1" applyFont="1" applyBorder="1" applyAlignment="1" applyProtection="1">
      <alignment horizontal="center" vertical="center" wrapText="1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71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55" xfId="0" applyFont="1" applyBorder="1" applyAlignment="1" applyProtection="1">
      <alignment horizontal="center" vertical="center"/>
      <protection hidden="1"/>
    </xf>
    <xf numFmtId="0" fontId="1" fillId="0" borderId="53" xfId="0" applyFont="1" applyBorder="1" applyAlignment="1" applyProtection="1">
      <alignment horizontal="center" vertical="center"/>
      <protection hidden="1"/>
    </xf>
    <xf numFmtId="0" fontId="1" fillId="0" borderId="54" xfId="0" applyFont="1" applyBorder="1" applyAlignment="1" applyProtection="1">
      <alignment horizontal="center" vertical="center"/>
      <protection hidden="1"/>
    </xf>
    <xf numFmtId="0" fontId="1" fillId="0" borderId="56" xfId="0" applyFont="1" applyBorder="1" applyAlignment="1" applyProtection="1">
      <alignment horizontal="center" vertical="center"/>
      <protection hidden="1"/>
    </xf>
    <xf numFmtId="0" fontId="1" fillId="0" borderId="58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10" fontId="13" fillId="0" borderId="31" xfId="0" applyNumberFormat="1" applyFont="1" applyBorder="1" applyAlignment="1" applyProtection="1">
      <alignment horizontal="center" vertical="center" wrapText="1"/>
      <protection hidden="1"/>
    </xf>
    <xf numFmtId="10" fontId="13" fillId="0" borderId="32" xfId="0" applyNumberFormat="1" applyFont="1" applyBorder="1" applyAlignment="1" applyProtection="1">
      <alignment horizontal="center" vertical="center" wrapText="1"/>
      <protection hidden="1"/>
    </xf>
    <xf numFmtId="10" fontId="13" fillId="0" borderId="33" xfId="0" applyNumberFormat="1" applyFont="1" applyBorder="1" applyAlignment="1" applyProtection="1">
      <alignment horizontal="center" vertical="center" wrapText="1"/>
      <protection hidden="1"/>
    </xf>
    <xf numFmtId="10" fontId="13" fillId="0" borderId="34" xfId="0" applyNumberFormat="1" applyFont="1" applyBorder="1" applyAlignment="1" applyProtection="1">
      <alignment horizontal="center" vertical="center" wrapText="1"/>
      <protection hidden="1"/>
    </xf>
    <xf numFmtId="166" fontId="5" fillId="0" borderId="20" xfId="0" applyNumberFormat="1" applyFont="1" applyBorder="1" applyAlignment="1" applyProtection="1">
      <alignment horizontal="center" vertical="center" wrapText="1"/>
      <protection hidden="1"/>
    </xf>
    <xf numFmtId="166" fontId="5" fillId="0" borderId="21" xfId="0" applyNumberFormat="1" applyFont="1" applyBorder="1" applyAlignment="1" applyProtection="1">
      <alignment horizontal="center" vertical="center" wrapText="1"/>
      <protection hidden="1"/>
    </xf>
    <xf numFmtId="166" fontId="5" fillId="0" borderId="18" xfId="0" applyNumberFormat="1" applyFont="1" applyBorder="1" applyAlignment="1" applyProtection="1">
      <alignment horizontal="center" vertical="center" wrapText="1"/>
      <protection hidden="1"/>
    </xf>
    <xf numFmtId="167" fontId="2" fillId="2" borderId="1" xfId="0" applyNumberFormat="1" applyFont="1" applyFill="1" applyBorder="1" applyAlignment="1"/>
    <xf numFmtId="164" fontId="1" fillId="15" borderId="1" xfId="0" applyNumberFormat="1" applyFont="1" applyFill="1" applyBorder="1" applyAlignment="1" applyProtection="1">
      <alignment horizontal="right" vertical="center"/>
    </xf>
    <xf numFmtId="0" fontId="1" fillId="15" borderId="3" xfId="0" applyFont="1" applyFill="1" applyBorder="1" applyAlignment="1" applyProtection="1">
      <alignment horizontal="center" vertical="center"/>
    </xf>
    <xf numFmtId="167" fontId="1" fillId="12" borderId="36" xfId="0" applyNumberFormat="1" applyFont="1" applyFill="1" applyBorder="1" applyAlignment="1" applyProtection="1">
      <alignment horizontal="right" vertical="center"/>
      <protection locked="0"/>
    </xf>
    <xf numFmtId="167" fontId="1" fillId="12" borderId="1" xfId="0" applyNumberFormat="1" applyFont="1" applyFill="1" applyBorder="1" applyAlignment="1" applyProtection="1">
      <alignment horizontal="right" vertical="center"/>
      <protection locked="0"/>
    </xf>
    <xf numFmtId="167" fontId="1" fillId="12" borderId="47" xfId="0" applyNumberFormat="1" applyFont="1" applyFill="1" applyBorder="1" applyAlignment="1" applyProtection="1">
      <alignment horizontal="right" vertical="center"/>
      <protection locked="0"/>
    </xf>
    <xf numFmtId="167" fontId="1" fillId="12" borderId="21" xfId="0" applyNumberFormat="1" applyFont="1" applyFill="1" applyBorder="1" applyAlignment="1" applyProtection="1">
      <alignment horizontal="right" vertical="center"/>
      <protection locked="0"/>
    </xf>
    <xf numFmtId="167" fontId="1" fillId="12" borderId="44" xfId="0" applyNumberFormat="1" applyFont="1" applyFill="1" applyBorder="1" applyAlignment="1" applyProtection="1">
      <alignment horizontal="right"/>
      <protection locked="0"/>
    </xf>
    <xf numFmtId="167" fontId="1" fillId="13" borderId="36" xfId="0" applyNumberFormat="1" applyFont="1" applyFill="1" applyBorder="1" applyAlignment="1" applyProtection="1">
      <protection locked="0"/>
    </xf>
    <xf numFmtId="167" fontId="2" fillId="5" borderId="1" xfId="0" applyNumberFormat="1" applyFont="1" applyFill="1" applyBorder="1" applyAlignment="1"/>
    <xf numFmtId="167" fontId="2" fillId="5" borderId="15" xfId="0" applyNumberFormat="1" applyFont="1" applyFill="1" applyBorder="1" applyAlignment="1"/>
    <xf numFmtId="171" fontId="8" fillId="0" borderId="11" xfId="1" applyNumberFormat="1" applyFont="1" applyBorder="1" applyAlignment="1">
      <alignment vertical="center"/>
    </xf>
    <xf numFmtId="171" fontId="8" fillId="0" borderId="60" xfId="1" applyNumberFormat="1" applyFont="1" applyBorder="1" applyAlignment="1">
      <alignment vertical="center"/>
    </xf>
    <xf numFmtId="14" fontId="19" fillId="0" borderId="0" xfId="0" applyNumberFormat="1" applyFont="1" applyProtection="1">
      <protection locked="0"/>
    </xf>
    <xf numFmtId="0" fontId="17" fillId="0" borderId="0" xfId="4"/>
    <xf numFmtId="0" fontId="35" fillId="0" borderId="0" xfId="4" applyNumberFormat="1" applyFont="1" applyBorder="1" applyAlignment="1">
      <alignment horizontal="left" wrapText="1"/>
    </xf>
    <xf numFmtId="0" fontId="13" fillId="0" borderId="60" xfId="4" applyNumberFormat="1" applyFont="1" applyBorder="1" applyAlignment="1" applyProtection="1">
      <alignment horizontal="center" vertical="center" wrapText="1"/>
      <protection hidden="1"/>
    </xf>
    <xf numFmtId="0" fontId="13" fillId="0" borderId="75" xfId="4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6" fillId="0" borderId="0" xfId="0" applyFont="1" applyProtection="1">
      <protection hidden="1"/>
    </xf>
    <xf numFmtId="0" fontId="0" fillId="0" borderId="0" xfId="0" applyAlignment="1">
      <alignment horizontal="left" vertical="center"/>
    </xf>
    <xf numFmtId="164" fontId="14" fillId="4" borderId="76" xfId="4" applyNumberFormat="1" applyFont="1" applyFill="1" applyBorder="1" applyAlignment="1">
      <alignment horizontal="left" vertical="center"/>
    </xf>
    <xf numFmtId="164" fontId="14" fillId="4" borderId="77" xfId="4" applyNumberFormat="1" applyFont="1" applyFill="1" applyBorder="1" applyAlignment="1">
      <alignment horizontal="left" vertical="center"/>
    </xf>
    <xf numFmtId="164" fontId="14" fillId="15" borderId="76" xfId="4" applyNumberFormat="1" applyFont="1" applyFill="1" applyBorder="1" applyAlignment="1">
      <alignment horizontal="left" vertical="center"/>
    </xf>
    <xf numFmtId="164" fontId="14" fillId="15" borderId="77" xfId="4" applyNumberFormat="1" applyFont="1" applyFill="1" applyBorder="1" applyAlignment="1">
      <alignment horizontal="left" vertical="center"/>
    </xf>
    <xf numFmtId="0" fontId="1" fillId="0" borderId="76" xfId="0" applyFont="1" applyFill="1" applyBorder="1" applyAlignment="1">
      <alignment horizontal="left" wrapText="1" indent="4"/>
    </xf>
    <xf numFmtId="164" fontId="14" fillId="0" borderId="77" xfId="4" applyNumberFormat="1" applyFont="1" applyFill="1" applyBorder="1" applyAlignment="1">
      <alignment horizontal="left" vertical="center"/>
    </xf>
    <xf numFmtId="49" fontId="14" fillId="0" borderId="78" xfId="4" applyNumberFormat="1" applyFont="1" applyFill="1" applyBorder="1" applyAlignment="1" applyProtection="1">
      <alignment horizontal="left" vertical="center" wrapText="1"/>
      <protection locked="0"/>
    </xf>
    <xf numFmtId="49" fontId="14" fillId="15" borderId="78" xfId="4" applyNumberFormat="1" applyFont="1" applyFill="1" applyBorder="1" applyAlignment="1" applyProtection="1">
      <alignment horizontal="left" vertical="center" wrapText="1"/>
      <protection locked="0"/>
    </xf>
    <xf numFmtId="164" fontId="14" fillId="4" borderId="79" xfId="4" applyNumberFormat="1" applyFont="1" applyFill="1" applyBorder="1" applyAlignment="1">
      <alignment horizontal="left" vertical="center"/>
    </xf>
    <xf numFmtId="164" fontId="14" fillId="4" borderId="80" xfId="4" applyNumberFormat="1" applyFont="1" applyFill="1" applyBorder="1" applyAlignment="1">
      <alignment horizontal="left" vertical="center"/>
    </xf>
    <xf numFmtId="49" fontId="14" fillId="4" borderId="81" xfId="4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0" applyFont="1"/>
    <xf numFmtId="0" fontId="1" fillId="15" borderId="9" xfId="0" applyFont="1" applyFill="1" applyBorder="1" applyAlignment="1">
      <alignment horizontal="left" wrapText="1" indent="2"/>
    </xf>
    <xf numFmtId="164" fontId="14" fillId="15" borderId="13" xfId="4" applyNumberFormat="1" applyFont="1" applyFill="1" applyBorder="1" applyAlignment="1">
      <alignment horizontal="left" vertical="center"/>
    </xf>
    <xf numFmtId="49" fontId="14" fillId="15" borderId="14" xfId="4" applyNumberFormat="1" applyFont="1" applyFill="1" applyBorder="1" applyAlignment="1" applyProtection="1">
      <alignment horizontal="left" vertical="center" wrapText="1"/>
      <protection locked="0"/>
    </xf>
    <xf numFmtId="0" fontId="1" fillId="15" borderId="76" xfId="0" applyFont="1" applyFill="1" applyBorder="1" applyAlignment="1">
      <alignment horizontal="left" wrapText="1" indent="2"/>
    </xf>
    <xf numFmtId="164" fontId="14" fillId="4" borderId="82" xfId="4" applyNumberFormat="1" applyFont="1" applyFill="1" applyBorder="1" applyAlignment="1">
      <alignment horizontal="left" vertical="center"/>
    </xf>
    <xf numFmtId="164" fontId="14" fillId="4" borderId="83" xfId="4" applyNumberFormat="1" applyFont="1" applyFill="1" applyBorder="1" applyAlignment="1">
      <alignment horizontal="left" vertical="center"/>
    </xf>
    <xf numFmtId="164" fontId="14" fillId="4" borderId="84" xfId="4" applyNumberFormat="1" applyFont="1" applyFill="1" applyBorder="1" applyAlignment="1" applyProtection="1">
      <alignment horizontal="left" vertical="center"/>
      <protection locked="0"/>
    </xf>
    <xf numFmtId="164" fontId="14" fillId="4" borderId="78" xfId="4" applyNumberFormat="1" applyFont="1" applyFill="1" applyBorder="1" applyAlignment="1" applyProtection="1">
      <alignment horizontal="left" vertical="center"/>
      <protection locked="0"/>
    </xf>
    <xf numFmtId="164" fontId="14" fillId="15" borderId="78" xfId="4" applyNumberFormat="1" applyFont="1" applyFill="1" applyBorder="1" applyAlignment="1" applyProtection="1">
      <alignment horizontal="left" vertical="center"/>
      <protection locked="0"/>
    </xf>
    <xf numFmtId="164" fontId="6" fillId="25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72" xfId="0" applyFont="1" applyBorder="1" applyAlignment="1" applyProtection="1">
      <alignment horizontal="center" vertical="center"/>
      <protection hidden="1"/>
    </xf>
    <xf numFmtId="0" fontId="2" fillId="0" borderId="73" xfId="0" applyFont="1" applyBorder="1" applyAlignment="1" applyProtection="1">
      <alignment horizontal="center" vertical="center"/>
      <protection hidden="1"/>
    </xf>
    <xf numFmtId="0" fontId="2" fillId="0" borderId="74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16" fillId="0" borderId="28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hidden="1"/>
    </xf>
    <xf numFmtId="0" fontId="2" fillId="0" borderId="69" xfId="0" applyFont="1" applyBorder="1" applyAlignment="1" applyProtection="1">
      <alignment horizontal="center" vertical="center"/>
      <protection hidden="1"/>
    </xf>
    <xf numFmtId="0" fontId="2" fillId="0" borderId="70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15" fillId="0" borderId="12" xfId="0" applyNumberFormat="1" applyFont="1" applyBorder="1" applyAlignment="1" applyProtection="1">
      <alignment horizontal="center" vertical="center" wrapText="1"/>
      <protection hidden="1"/>
    </xf>
    <xf numFmtId="0" fontId="15" fillId="0" borderId="13" xfId="0" applyNumberFormat="1" applyFont="1" applyBorder="1" applyAlignment="1" applyProtection="1">
      <alignment horizontal="center" vertical="center" wrapText="1"/>
      <protection hidden="1"/>
    </xf>
    <xf numFmtId="0" fontId="15" fillId="0" borderId="10" xfId="0" applyNumberFormat="1" applyFont="1" applyBorder="1" applyAlignment="1" applyProtection="1">
      <alignment horizontal="center" vertical="center" wrapText="1"/>
      <protection hidden="1"/>
    </xf>
    <xf numFmtId="0" fontId="15" fillId="0" borderId="52" xfId="0" applyNumberFormat="1" applyFont="1" applyBorder="1" applyAlignment="1" applyProtection="1">
      <alignment horizontal="center" vertical="center" wrapText="1"/>
      <protection hidden="1"/>
    </xf>
    <xf numFmtId="0" fontId="15" fillId="0" borderId="63" xfId="0" applyNumberFormat="1" applyFont="1" applyBorder="1" applyAlignment="1" applyProtection="1">
      <alignment horizontal="center" vertical="center" wrapText="1"/>
      <protection hidden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52" xfId="0" applyNumberFormat="1" applyFont="1" applyBorder="1" applyAlignment="1">
      <alignment horizontal="center" vertical="center" wrapText="1"/>
    </xf>
    <xf numFmtId="0" fontId="5" fillId="0" borderId="63" xfId="0" applyNumberFormat="1" applyFont="1" applyBorder="1" applyAlignment="1">
      <alignment horizontal="center" vertical="center" wrapText="1"/>
    </xf>
    <xf numFmtId="0" fontId="34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3"/>
    <cellStyle name="Обычный_4. Комментарии" xfId="4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5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605"/>
  <sheetViews>
    <sheetView showGridLines="0" tabSelected="1" view="pageBreakPreview" topLeftCell="A67" zoomScale="40" zoomScaleNormal="70" zoomScaleSheetLayoutView="40" workbookViewId="0">
      <pane xSplit="2" topLeftCell="C1" activePane="topRight" state="frozen"/>
      <selection pane="topRight" activeCell="AH105" sqref="AH105"/>
    </sheetView>
  </sheetViews>
  <sheetFormatPr defaultRowHeight="15" outlineLevelRow="1" x14ac:dyDescent="0.25"/>
  <cols>
    <col min="1" max="1" width="47.5703125" customWidth="1"/>
    <col min="2" max="2" width="16.42578125" style="33"/>
    <col min="3" max="17" width="13.28515625" style="11" customWidth="1"/>
    <col min="18" max="37" width="13.28515625" customWidth="1"/>
    <col min="38" max="39" width="10.7109375"/>
    <col min="40" max="40" width="11.28515625"/>
    <col min="41" max="41" width="10.7109375"/>
    <col min="42" max="42" width="10.42578125"/>
    <col min="44" max="44" width="10.28515625"/>
    <col min="45" max="45" width="8.5703125"/>
    <col min="47" max="49" width="8.5703125"/>
    <col min="53" max="1022" width="8.5703125"/>
  </cols>
  <sheetData>
    <row r="1" spans="1:17" x14ac:dyDescent="0.25">
      <c r="A1" s="19"/>
      <c r="B1" s="40" t="s">
        <v>10</v>
      </c>
      <c r="C1" s="38"/>
      <c r="D1" s="38"/>
      <c r="E1" s="38"/>
      <c r="F1" s="38"/>
      <c r="G1" s="118"/>
      <c r="H1" s="118"/>
      <c r="I1" s="12"/>
      <c r="J1" s="12"/>
      <c r="K1" s="119"/>
    </row>
    <row r="2" spans="1:17" ht="30" x14ac:dyDescent="0.25">
      <c r="A2" s="41" t="s">
        <v>11</v>
      </c>
      <c r="B2" s="111"/>
      <c r="C2" s="39"/>
      <c r="D2" s="12"/>
      <c r="E2" s="12"/>
      <c r="F2" s="12"/>
    </row>
    <row r="3" spans="1:17" ht="30" x14ac:dyDescent="0.25">
      <c r="A3" s="41" t="s">
        <v>12</v>
      </c>
      <c r="B3" s="112"/>
      <c r="C3" s="39"/>
      <c r="D3" s="39"/>
      <c r="E3" s="39"/>
      <c r="F3" s="39"/>
      <c r="G3" s="12"/>
      <c r="H3" s="12"/>
      <c r="I3" s="12"/>
    </row>
    <row r="4" spans="1:17" ht="30" x14ac:dyDescent="0.25">
      <c r="A4" s="41" t="s">
        <v>14</v>
      </c>
      <c r="B4" s="113"/>
      <c r="C4" s="39"/>
      <c r="D4" s="39"/>
      <c r="E4" s="39"/>
      <c r="F4" s="39"/>
      <c r="G4" s="12"/>
      <c r="H4" s="12"/>
      <c r="I4" s="12"/>
    </row>
    <row r="5" spans="1:17" x14ac:dyDescent="0.25">
      <c r="A5" s="243"/>
      <c r="B5" s="244"/>
      <c r="C5" s="39"/>
      <c r="D5" s="39"/>
      <c r="E5" s="39"/>
      <c r="F5" s="39"/>
      <c r="G5" s="12"/>
      <c r="H5" s="12"/>
      <c r="I5" s="12"/>
    </row>
    <row r="6" spans="1:17" x14ac:dyDescent="0.25">
      <c r="A6" s="242" t="s">
        <v>106</v>
      </c>
      <c r="B6" s="32"/>
      <c r="C6" s="12"/>
      <c r="D6" s="12"/>
      <c r="E6" s="12"/>
      <c r="F6" s="12"/>
      <c r="G6" s="12"/>
      <c r="H6" s="12"/>
      <c r="I6" s="12"/>
    </row>
    <row r="7" spans="1:17" x14ac:dyDescent="0.25">
      <c r="A7" s="241" t="s">
        <v>120</v>
      </c>
      <c r="B7" s="32"/>
      <c r="C7" s="12"/>
      <c r="D7" s="12"/>
      <c r="E7" s="12"/>
      <c r="F7" s="12"/>
      <c r="G7" s="12"/>
      <c r="H7" s="12"/>
      <c r="I7" s="12"/>
    </row>
    <row r="8" spans="1:17" ht="15.75" thickBot="1" x14ac:dyDescent="0.3">
      <c r="A8" s="241" t="s">
        <v>121</v>
      </c>
      <c r="B8" s="32"/>
      <c r="C8" s="12"/>
      <c r="D8" s="12"/>
      <c r="E8" s="12"/>
      <c r="F8" s="12"/>
      <c r="G8" s="12"/>
      <c r="H8" s="12"/>
      <c r="I8" s="12"/>
    </row>
    <row r="9" spans="1:17" ht="15.75" thickBot="1" x14ac:dyDescent="0.3">
      <c r="A9" s="439" t="s">
        <v>13</v>
      </c>
      <c r="B9" s="23" t="s">
        <v>42</v>
      </c>
      <c r="C9" s="521" t="str">
        <f>YEAR(Test_date)&amp;" год"</f>
        <v>2019 год</v>
      </c>
      <c r="D9" s="522" t="s">
        <v>0</v>
      </c>
      <c r="E9" s="523" t="s">
        <v>1</v>
      </c>
      <c r="F9" s="523" t="s">
        <v>2</v>
      </c>
      <c r="G9" s="524" t="s">
        <v>3</v>
      </c>
      <c r="H9" s="521" t="str">
        <f>(LEFT(C9,4)+1)&amp;" год"</f>
        <v>2020 год</v>
      </c>
      <c r="I9" s="522" t="s">
        <v>0</v>
      </c>
      <c r="J9" s="523" t="s">
        <v>1</v>
      </c>
      <c r="K9" s="523" t="s">
        <v>2</v>
      </c>
      <c r="L9" s="524" t="s">
        <v>3</v>
      </c>
      <c r="M9" s="521" t="str">
        <f>(LEFT(H9,4)+1)&amp;" год"</f>
        <v>2021 год</v>
      </c>
      <c r="N9" s="522" t="s">
        <v>0</v>
      </c>
      <c r="O9" s="523" t="s">
        <v>1</v>
      </c>
      <c r="P9" s="523" t="s">
        <v>2</v>
      </c>
      <c r="Q9" s="525" t="s">
        <v>3</v>
      </c>
    </row>
    <row r="10" spans="1:17" x14ac:dyDescent="0.25">
      <c r="A10" s="434" t="s">
        <v>119</v>
      </c>
      <c r="B10" s="435"/>
      <c r="C10" s="435"/>
      <c r="D10" s="436"/>
      <c r="E10" s="436"/>
      <c r="F10" s="436"/>
      <c r="G10" s="436"/>
      <c r="H10" s="436"/>
      <c r="I10" s="437"/>
      <c r="J10" s="437"/>
      <c r="K10" s="437"/>
      <c r="L10" s="437"/>
      <c r="M10" s="437"/>
      <c r="N10" s="437"/>
      <c r="O10" s="437"/>
      <c r="P10" s="437"/>
      <c r="Q10" s="438"/>
    </row>
    <row r="11" spans="1:17" ht="28.5" x14ac:dyDescent="0.25">
      <c r="A11" s="300" t="s">
        <v>98</v>
      </c>
      <c r="B11" s="297" t="s">
        <v>102</v>
      </c>
      <c r="C11" s="291">
        <f t="shared" ref="C11:Q11" si="0">SUM(C12:C14)</f>
        <v>0</v>
      </c>
      <c r="D11" s="412">
        <f t="shared" si="0"/>
        <v>0</v>
      </c>
      <c r="E11" s="413">
        <f t="shared" si="0"/>
        <v>0</v>
      </c>
      <c r="F11" s="413">
        <f t="shared" si="0"/>
        <v>0</v>
      </c>
      <c r="G11" s="414">
        <f t="shared" si="0"/>
        <v>0</v>
      </c>
      <c r="H11" s="291">
        <f t="shared" si="0"/>
        <v>0</v>
      </c>
      <c r="I11" s="412">
        <f t="shared" si="0"/>
        <v>0</v>
      </c>
      <c r="J11" s="413">
        <f t="shared" si="0"/>
        <v>0</v>
      </c>
      <c r="K11" s="413">
        <f t="shared" si="0"/>
        <v>0</v>
      </c>
      <c r="L11" s="414">
        <f t="shared" si="0"/>
        <v>0</v>
      </c>
      <c r="M11" s="291">
        <f t="shared" si="0"/>
        <v>0</v>
      </c>
      <c r="N11" s="412">
        <f t="shared" si="0"/>
        <v>0</v>
      </c>
      <c r="O11" s="413">
        <f t="shared" si="0"/>
        <v>0</v>
      </c>
      <c r="P11" s="413">
        <f t="shared" si="0"/>
        <v>0</v>
      </c>
      <c r="Q11" s="415">
        <f t="shared" si="0"/>
        <v>0</v>
      </c>
    </row>
    <row r="12" spans="1:17" x14ac:dyDescent="0.25">
      <c r="A12" s="301" t="s">
        <v>114</v>
      </c>
      <c r="B12" s="247" t="s">
        <v>102</v>
      </c>
      <c r="C12" s="416">
        <f t="shared" ref="C12:C14" si="1">SUM(D12:G12)</f>
        <v>0</v>
      </c>
      <c r="D12" s="441">
        <v>0</v>
      </c>
      <c r="E12" s="442">
        <v>0</v>
      </c>
      <c r="F12" s="442">
        <v>0</v>
      </c>
      <c r="G12" s="443">
        <v>0</v>
      </c>
      <c r="H12" s="416">
        <f t="shared" ref="H12:H14" si="2">SUM(I12:L12)</f>
        <v>0</v>
      </c>
      <c r="I12" s="441">
        <v>0</v>
      </c>
      <c r="J12" s="442">
        <v>0</v>
      </c>
      <c r="K12" s="442">
        <v>0</v>
      </c>
      <c r="L12" s="443">
        <v>0</v>
      </c>
      <c r="M12" s="416">
        <f t="shared" ref="M12:M14" si="3">SUM(N12:Q12)</f>
        <v>0</v>
      </c>
      <c r="N12" s="441">
        <v>0</v>
      </c>
      <c r="O12" s="442">
        <v>0</v>
      </c>
      <c r="P12" s="442">
        <v>0</v>
      </c>
      <c r="Q12" s="443">
        <v>0</v>
      </c>
    </row>
    <row r="13" spans="1:17" x14ac:dyDescent="0.25">
      <c r="A13" s="301" t="s">
        <v>89</v>
      </c>
      <c r="B13" s="247" t="s">
        <v>102</v>
      </c>
      <c r="C13" s="416">
        <f t="shared" si="1"/>
        <v>0</v>
      </c>
      <c r="D13" s="441">
        <v>0</v>
      </c>
      <c r="E13" s="442">
        <v>0</v>
      </c>
      <c r="F13" s="442">
        <v>0</v>
      </c>
      <c r="G13" s="443">
        <v>0</v>
      </c>
      <c r="H13" s="416">
        <f t="shared" si="2"/>
        <v>0</v>
      </c>
      <c r="I13" s="441">
        <v>0</v>
      </c>
      <c r="J13" s="442">
        <v>0</v>
      </c>
      <c r="K13" s="442">
        <v>0</v>
      </c>
      <c r="L13" s="443">
        <v>0</v>
      </c>
      <c r="M13" s="416">
        <f t="shared" si="3"/>
        <v>0</v>
      </c>
      <c r="N13" s="441">
        <v>0</v>
      </c>
      <c r="O13" s="442">
        <v>0</v>
      </c>
      <c r="P13" s="442">
        <v>0</v>
      </c>
      <c r="Q13" s="443">
        <v>0</v>
      </c>
    </row>
    <row r="14" spans="1:17" x14ac:dyDescent="0.25">
      <c r="A14" s="301" t="s">
        <v>90</v>
      </c>
      <c r="B14" s="219" t="s">
        <v>102</v>
      </c>
      <c r="C14" s="417">
        <f t="shared" si="1"/>
        <v>0</v>
      </c>
      <c r="D14" s="441">
        <v>0</v>
      </c>
      <c r="E14" s="442">
        <v>0</v>
      </c>
      <c r="F14" s="442">
        <v>0</v>
      </c>
      <c r="G14" s="443">
        <v>0</v>
      </c>
      <c r="H14" s="417">
        <f t="shared" si="2"/>
        <v>0</v>
      </c>
      <c r="I14" s="441">
        <v>0</v>
      </c>
      <c r="J14" s="442">
        <v>0</v>
      </c>
      <c r="K14" s="442">
        <v>0</v>
      </c>
      <c r="L14" s="443">
        <v>0</v>
      </c>
      <c r="M14" s="417">
        <f t="shared" si="3"/>
        <v>0</v>
      </c>
      <c r="N14" s="441">
        <v>0</v>
      </c>
      <c r="O14" s="442">
        <v>0</v>
      </c>
      <c r="P14" s="442">
        <v>0</v>
      </c>
      <c r="Q14" s="443">
        <v>0</v>
      </c>
    </row>
    <row r="15" spans="1:17" x14ac:dyDescent="0.25">
      <c r="A15" s="298" t="s">
        <v>134</v>
      </c>
      <c r="B15" s="299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3"/>
    </row>
    <row r="16" spans="1:17" ht="28.5" x14ac:dyDescent="0.25">
      <c r="A16" s="302" t="s">
        <v>15</v>
      </c>
      <c r="B16" s="297" t="s">
        <v>102</v>
      </c>
      <c r="C16" s="291">
        <f t="shared" ref="C16:Q16" si="4">SUM(C17:C19)</f>
        <v>0</v>
      </c>
      <c r="D16" s="412">
        <f t="shared" si="4"/>
        <v>0</v>
      </c>
      <c r="E16" s="413">
        <f t="shared" si="4"/>
        <v>0</v>
      </c>
      <c r="F16" s="413">
        <f t="shared" si="4"/>
        <v>0</v>
      </c>
      <c r="G16" s="414">
        <f t="shared" si="4"/>
        <v>0</v>
      </c>
      <c r="H16" s="291">
        <f t="shared" si="4"/>
        <v>0</v>
      </c>
      <c r="I16" s="412">
        <f t="shared" si="4"/>
        <v>0</v>
      </c>
      <c r="J16" s="413">
        <f t="shared" si="4"/>
        <v>0</v>
      </c>
      <c r="K16" s="413">
        <f t="shared" si="4"/>
        <v>0</v>
      </c>
      <c r="L16" s="414">
        <f t="shared" si="4"/>
        <v>0</v>
      </c>
      <c r="M16" s="291">
        <f t="shared" si="4"/>
        <v>0</v>
      </c>
      <c r="N16" s="412">
        <f t="shared" si="4"/>
        <v>0</v>
      </c>
      <c r="O16" s="413">
        <f t="shared" si="4"/>
        <v>0</v>
      </c>
      <c r="P16" s="413">
        <f t="shared" si="4"/>
        <v>0</v>
      </c>
      <c r="Q16" s="415">
        <f t="shared" si="4"/>
        <v>0</v>
      </c>
    </row>
    <row r="17" spans="1:52" x14ac:dyDescent="0.25">
      <c r="A17" s="301" t="s">
        <v>114</v>
      </c>
      <c r="B17" s="247" t="s">
        <v>102</v>
      </c>
      <c r="C17" s="416">
        <f t="shared" ref="C17:C19" si="5">SUM(D17:G17)</f>
        <v>0</v>
      </c>
      <c r="D17" s="546">
        <v>0</v>
      </c>
      <c r="E17" s="547">
        <v>0</v>
      </c>
      <c r="F17" s="547">
        <v>0</v>
      </c>
      <c r="G17" s="444">
        <v>0</v>
      </c>
      <c r="H17" s="416">
        <f t="shared" ref="H17:H19" si="6">SUM(I17:L17)</f>
        <v>0</v>
      </c>
      <c r="I17" s="546">
        <v>0</v>
      </c>
      <c r="J17" s="547">
        <v>0</v>
      </c>
      <c r="K17" s="547">
        <v>0</v>
      </c>
      <c r="L17" s="444">
        <v>0</v>
      </c>
      <c r="M17" s="416">
        <f t="shared" ref="M17:M19" si="7">SUM(N17:Q17)</f>
        <v>0</v>
      </c>
      <c r="N17" s="546">
        <v>0</v>
      </c>
      <c r="O17" s="547">
        <v>0</v>
      </c>
      <c r="P17" s="547">
        <v>0</v>
      </c>
      <c r="Q17" s="443">
        <v>0</v>
      </c>
    </row>
    <row r="18" spans="1:52" x14ac:dyDescent="0.25">
      <c r="A18" s="301" t="s">
        <v>89</v>
      </c>
      <c r="B18" s="247" t="s">
        <v>102</v>
      </c>
      <c r="C18" s="416">
        <f t="shared" si="5"/>
        <v>0</v>
      </c>
      <c r="D18" s="546">
        <v>0</v>
      </c>
      <c r="E18" s="547">
        <v>0</v>
      </c>
      <c r="F18" s="547">
        <v>0</v>
      </c>
      <c r="G18" s="444">
        <v>0</v>
      </c>
      <c r="H18" s="416">
        <f t="shared" si="6"/>
        <v>0</v>
      </c>
      <c r="I18" s="546">
        <v>0</v>
      </c>
      <c r="J18" s="547">
        <v>0</v>
      </c>
      <c r="K18" s="547">
        <v>0</v>
      </c>
      <c r="L18" s="444">
        <v>0</v>
      </c>
      <c r="M18" s="416">
        <f t="shared" si="7"/>
        <v>0</v>
      </c>
      <c r="N18" s="546">
        <v>0</v>
      </c>
      <c r="O18" s="547">
        <v>0</v>
      </c>
      <c r="P18" s="547">
        <v>0</v>
      </c>
      <c r="Q18" s="443">
        <v>0</v>
      </c>
    </row>
    <row r="19" spans="1:52" ht="15.75" thickBot="1" x14ac:dyDescent="0.3">
      <c r="A19" s="303" t="s">
        <v>90</v>
      </c>
      <c r="B19" s="20" t="s">
        <v>102</v>
      </c>
      <c r="C19" s="418">
        <f t="shared" si="5"/>
        <v>0</v>
      </c>
      <c r="D19" s="546">
        <v>0</v>
      </c>
      <c r="E19" s="547">
        <v>0</v>
      </c>
      <c r="F19" s="547">
        <v>0</v>
      </c>
      <c r="G19" s="444">
        <v>0</v>
      </c>
      <c r="H19" s="418">
        <f t="shared" si="6"/>
        <v>0</v>
      </c>
      <c r="I19" s="546">
        <v>0</v>
      </c>
      <c r="J19" s="547">
        <v>0</v>
      </c>
      <c r="K19" s="547">
        <v>0</v>
      </c>
      <c r="L19" s="444">
        <v>0</v>
      </c>
      <c r="M19" s="418">
        <f t="shared" si="7"/>
        <v>0</v>
      </c>
      <c r="N19" s="546">
        <v>0</v>
      </c>
      <c r="O19" s="547">
        <v>0</v>
      </c>
      <c r="P19" s="547">
        <v>0</v>
      </c>
      <c r="Q19" s="443">
        <v>0</v>
      </c>
    </row>
    <row r="20" spans="1:52" x14ac:dyDescent="0.25">
      <c r="A20" s="298" t="s">
        <v>135</v>
      </c>
      <c r="B20" s="299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3"/>
    </row>
    <row r="21" spans="1:52" ht="28.5" x14ac:dyDescent="0.25">
      <c r="A21" s="302" t="s">
        <v>15</v>
      </c>
      <c r="B21" s="297" t="s">
        <v>102</v>
      </c>
      <c r="C21" s="291">
        <f t="shared" ref="C21:Q21" si="8">SUM(C22:C24)</f>
        <v>0</v>
      </c>
      <c r="D21" s="412">
        <f t="shared" si="8"/>
        <v>0</v>
      </c>
      <c r="E21" s="413">
        <f t="shared" si="8"/>
        <v>0</v>
      </c>
      <c r="F21" s="413">
        <f t="shared" si="8"/>
        <v>0</v>
      </c>
      <c r="G21" s="414">
        <f t="shared" si="8"/>
        <v>0</v>
      </c>
      <c r="H21" s="291">
        <f t="shared" si="8"/>
        <v>0</v>
      </c>
      <c r="I21" s="412">
        <f t="shared" si="8"/>
        <v>0</v>
      </c>
      <c r="J21" s="413">
        <f t="shared" si="8"/>
        <v>0</v>
      </c>
      <c r="K21" s="413">
        <f t="shared" si="8"/>
        <v>0</v>
      </c>
      <c r="L21" s="414">
        <f t="shared" si="8"/>
        <v>0</v>
      </c>
      <c r="M21" s="291">
        <f t="shared" si="8"/>
        <v>0</v>
      </c>
      <c r="N21" s="412">
        <f t="shared" si="8"/>
        <v>0</v>
      </c>
      <c r="O21" s="413">
        <f t="shared" si="8"/>
        <v>0</v>
      </c>
      <c r="P21" s="413">
        <f t="shared" si="8"/>
        <v>0</v>
      </c>
      <c r="Q21" s="415">
        <f t="shared" si="8"/>
        <v>0</v>
      </c>
    </row>
    <row r="22" spans="1:52" x14ac:dyDescent="0.25">
      <c r="A22" s="301" t="s">
        <v>114</v>
      </c>
      <c r="B22" s="247" t="s">
        <v>102</v>
      </c>
      <c r="C22" s="416">
        <f t="shared" ref="C22:C24" si="9">SUM(D22:G22)</f>
        <v>0</v>
      </c>
      <c r="D22" s="546">
        <v>0</v>
      </c>
      <c r="E22" s="547">
        <v>0</v>
      </c>
      <c r="F22" s="547">
        <v>0</v>
      </c>
      <c r="G22" s="444">
        <v>0</v>
      </c>
      <c r="H22" s="416">
        <f t="shared" ref="H22:H24" si="10">SUM(I22:L22)</f>
        <v>0</v>
      </c>
      <c r="I22" s="546">
        <v>0</v>
      </c>
      <c r="J22" s="547">
        <v>0</v>
      </c>
      <c r="K22" s="547">
        <v>0</v>
      </c>
      <c r="L22" s="444">
        <v>0</v>
      </c>
      <c r="M22" s="416">
        <f t="shared" ref="M22:M24" si="11">SUM(N22:Q22)</f>
        <v>0</v>
      </c>
      <c r="N22" s="546">
        <v>0</v>
      </c>
      <c r="O22" s="547">
        <v>0</v>
      </c>
      <c r="P22" s="547">
        <v>0</v>
      </c>
      <c r="Q22" s="443">
        <v>0</v>
      </c>
    </row>
    <row r="23" spans="1:52" x14ac:dyDescent="0.25">
      <c r="A23" s="301" t="s">
        <v>89</v>
      </c>
      <c r="B23" s="247" t="s">
        <v>102</v>
      </c>
      <c r="C23" s="416">
        <f t="shared" si="9"/>
        <v>0</v>
      </c>
      <c r="D23" s="546">
        <v>0</v>
      </c>
      <c r="E23" s="547">
        <v>0</v>
      </c>
      <c r="F23" s="547">
        <v>0</v>
      </c>
      <c r="G23" s="444">
        <v>0</v>
      </c>
      <c r="H23" s="416">
        <f t="shared" si="10"/>
        <v>0</v>
      </c>
      <c r="I23" s="546">
        <v>0</v>
      </c>
      <c r="J23" s="547">
        <v>0</v>
      </c>
      <c r="K23" s="547">
        <v>0</v>
      </c>
      <c r="L23" s="444">
        <v>0</v>
      </c>
      <c r="M23" s="416">
        <f t="shared" si="11"/>
        <v>0</v>
      </c>
      <c r="N23" s="546">
        <v>0</v>
      </c>
      <c r="O23" s="547">
        <v>0</v>
      </c>
      <c r="P23" s="547">
        <v>0</v>
      </c>
      <c r="Q23" s="443">
        <v>0</v>
      </c>
    </row>
    <row r="24" spans="1:52" ht="15.75" thickBot="1" x14ac:dyDescent="0.3">
      <c r="A24" s="303" t="s">
        <v>90</v>
      </c>
      <c r="B24" s="20" t="s">
        <v>102</v>
      </c>
      <c r="C24" s="418">
        <f t="shared" si="9"/>
        <v>0</v>
      </c>
      <c r="D24" s="548">
        <v>0</v>
      </c>
      <c r="E24" s="549">
        <v>0</v>
      </c>
      <c r="F24" s="549">
        <v>0</v>
      </c>
      <c r="G24" s="445">
        <v>0</v>
      </c>
      <c r="H24" s="418">
        <f t="shared" si="10"/>
        <v>0</v>
      </c>
      <c r="I24" s="548">
        <v>0</v>
      </c>
      <c r="J24" s="549">
        <v>0</v>
      </c>
      <c r="K24" s="549">
        <v>0</v>
      </c>
      <c r="L24" s="445">
        <v>0</v>
      </c>
      <c r="M24" s="418">
        <f t="shared" si="11"/>
        <v>0</v>
      </c>
      <c r="N24" s="548">
        <v>0</v>
      </c>
      <c r="O24" s="549">
        <v>0</v>
      </c>
      <c r="P24" s="549">
        <v>0</v>
      </c>
      <c r="Q24" s="550">
        <v>0</v>
      </c>
    </row>
    <row r="25" spans="1:52" s="14" customFormat="1" x14ac:dyDescent="0.25">
      <c r="A25" s="42"/>
      <c r="B25" s="43"/>
      <c r="C25" s="123"/>
      <c r="D25" s="124"/>
      <c r="E25" s="124"/>
      <c r="F25" s="124"/>
      <c r="G25" s="124"/>
      <c r="H25" s="123"/>
      <c r="I25" s="124"/>
      <c r="J25" s="124"/>
      <c r="K25" s="124"/>
      <c r="L25" s="124"/>
      <c r="M25" s="123"/>
      <c r="N25" s="124"/>
      <c r="O25" s="124"/>
      <c r="P25" s="124"/>
      <c r="Q25" s="124"/>
      <c r="R25" s="44"/>
      <c r="S25" s="44"/>
      <c r="T25" s="44"/>
      <c r="U25" s="44"/>
      <c r="V25" s="44"/>
      <c r="W25" s="44"/>
      <c r="X25" s="44"/>
      <c r="Y25" s="44"/>
      <c r="Z25" s="44"/>
      <c r="AA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Z25"/>
    </row>
    <row r="26" spans="1:52" s="14" customFormat="1" x14ac:dyDescent="0.25">
      <c r="A26" s="242" t="s">
        <v>108</v>
      </c>
      <c r="B26" s="43"/>
      <c r="C26" s="123"/>
      <c r="D26" s="124"/>
      <c r="E26" s="124"/>
      <c r="F26" s="124"/>
      <c r="G26" s="124"/>
      <c r="H26" s="123"/>
      <c r="I26" s="124"/>
      <c r="J26" s="124"/>
      <c r="K26" s="124"/>
      <c r="L26" s="124"/>
      <c r="M26" s="123"/>
      <c r="N26" s="124"/>
      <c r="O26" s="124"/>
      <c r="P26" s="124"/>
      <c r="Q26" s="124"/>
      <c r="R26" s="44"/>
      <c r="S26" s="44"/>
      <c r="T26" s="44"/>
      <c r="U26" s="44"/>
      <c r="V26" s="44"/>
      <c r="W26" s="44"/>
      <c r="X26" s="44"/>
      <c r="Y26" s="44"/>
      <c r="Z26" s="44"/>
      <c r="AA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Z26"/>
    </row>
    <row r="27" spans="1:52" ht="15.75" thickBot="1" x14ac:dyDescent="0.3">
      <c r="A27" s="241" t="s">
        <v>63</v>
      </c>
      <c r="B27" s="3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"/>
      <c r="S27" s="4"/>
      <c r="T27" s="4"/>
      <c r="U27" s="4"/>
      <c r="V27" s="4"/>
      <c r="W27" s="4"/>
    </row>
    <row r="28" spans="1:52" s="33" customFormat="1" ht="14.65" customHeight="1" x14ac:dyDescent="0.25">
      <c r="A28" s="589" t="s">
        <v>16</v>
      </c>
      <c r="B28" s="591" t="s">
        <v>42</v>
      </c>
      <c r="C28" s="609" t="str">
        <f>(YEAR(Test_date)-3)&amp;" год"</f>
        <v>2016 год</v>
      </c>
      <c r="D28" s="595" t="str">
        <f>C28</f>
        <v>2016 год</v>
      </c>
      <c r="E28" s="596"/>
      <c r="F28" s="596"/>
      <c r="G28" s="606"/>
      <c r="H28" s="593" t="str">
        <f>(LEFT(C28,4)+1)&amp;" год"</f>
        <v>2017 год</v>
      </c>
      <c r="I28" s="595" t="str">
        <f>H28</f>
        <v>2017 год</v>
      </c>
      <c r="J28" s="596"/>
      <c r="K28" s="596"/>
      <c r="L28" s="606"/>
      <c r="M28" s="593" t="str">
        <f>(LEFT(H28,4)+1)&amp;" год"</f>
        <v>2018 год</v>
      </c>
      <c r="N28" s="607" t="str">
        <f>M28</f>
        <v>2018 год</v>
      </c>
      <c r="O28" s="596"/>
      <c r="P28" s="596"/>
      <c r="Q28" s="597"/>
    </row>
    <row r="29" spans="1:52" s="33" customFormat="1" ht="15.75" thickBot="1" x14ac:dyDescent="0.3">
      <c r="A29" s="590"/>
      <c r="B29" s="592"/>
      <c r="C29" s="610"/>
      <c r="D29" s="526" t="s">
        <v>0</v>
      </c>
      <c r="E29" s="527" t="s">
        <v>1</v>
      </c>
      <c r="F29" s="527" t="s">
        <v>2</v>
      </c>
      <c r="G29" s="528" t="s">
        <v>3</v>
      </c>
      <c r="H29" s="608"/>
      <c r="I29" s="529" t="s">
        <v>0</v>
      </c>
      <c r="J29" s="527" t="s">
        <v>1</v>
      </c>
      <c r="K29" s="527" t="s">
        <v>2</v>
      </c>
      <c r="L29" s="530" t="s">
        <v>3</v>
      </c>
      <c r="M29" s="608"/>
      <c r="N29" s="529" t="s">
        <v>0</v>
      </c>
      <c r="O29" s="527" t="s">
        <v>1</v>
      </c>
      <c r="P29" s="527" t="s">
        <v>2</v>
      </c>
      <c r="Q29" s="530" t="s">
        <v>3</v>
      </c>
    </row>
    <row r="30" spans="1:52" x14ac:dyDescent="0.25">
      <c r="A30" s="377" t="s">
        <v>4</v>
      </c>
      <c r="B30" s="170" t="s">
        <v>102</v>
      </c>
      <c r="C30" s="218">
        <f t="shared" ref="C30:Q30" si="12">SUM(C31:C33)</f>
        <v>4.1500000000000004</v>
      </c>
      <c r="D30" s="317">
        <f t="shared" si="12"/>
        <v>4.1500000000000004</v>
      </c>
      <c r="E30" s="373">
        <f t="shared" si="12"/>
        <v>3.9359999999999999</v>
      </c>
      <c r="F30" s="373">
        <f t="shared" si="12"/>
        <v>3.9449999999999998</v>
      </c>
      <c r="G30" s="374">
        <f t="shared" si="12"/>
        <v>3.9479999999999995</v>
      </c>
      <c r="H30" s="224">
        <f t="shared" si="12"/>
        <v>3.9419999999999997</v>
      </c>
      <c r="I30" s="317">
        <f t="shared" si="12"/>
        <v>3.9419999999999997</v>
      </c>
      <c r="J30" s="373">
        <f t="shared" si="12"/>
        <v>4.3559999999999999</v>
      </c>
      <c r="K30" s="373">
        <f t="shared" si="12"/>
        <v>4.42</v>
      </c>
      <c r="L30" s="374">
        <f t="shared" si="12"/>
        <v>4.423</v>
      </c>
      <c r="M30" s="224">
        <f t="shared" si="12"/>
        <v>4.4459999999999997</v>
      </c>
      <c r="N30" s="318">
        <f t="shared" si="12"/>
        <v>4.4459999999999997</v>
      </c>
      <c r="O30" s="375">
        <f t="shared" si="12"/>
        <v>4.6970000000000001</v>
      </c>
      <c r="P30" s="375">
        <f t="shared" si="12"/>
        <v>4.5949999999999998</v>
      </c>
      <c r="Q30" s="376">
        <f t="shared" si="12"/>
        <v>4.5510000000000002</v>
      </c>
      <c r="R30" s="4"/>
      <c r="S30" s="4"/>
      <c r="T30" s="4"/>
      <c r="U30" s="4"/>
      <c r="V30" s="4"/>
      <c r="W30" s="4"/>
    </row>
    <row r="31" spans="1:52" x14ac:dyDescent="0.25">
      <c r="A31" s="165" t="s">
        <v>114</v>
      </c>
      <c r="B31" s="35" t="s">
        <v>102</v>
      </c>
      <c r="C31" s="319">
        <f t="shared" ref="C31:C33" si="13">D31</f>
        <v>3.25</v>
      </c>
      <c r="D31" s="221">
        <v>3.25</v>
      </c>
      <c r="E31" s="126">
        <f>D71</f>
        <v>3.2509999999999999</v>
      </c>
      <c r="F31" s="126">
        <f t="shared" ref="F31" si="14">E71</f>
        <v>3.2559999999999998</v>
      </c>
      <c r="G31" s="127">
        <f>F71</f>
        <v>3.2559999999999998</v>
      </c>
      <c r="H31" s="314">
        <f t="shared" ref="H31:H33" si="15">I31</f>
        <v>3.2509999999999999</v>
      </c>
      <c r="I31" s="222">
        <f>G71</f>
        <v>3.2509999999999999</v>
      </c>
      <c r="J31" s="126">
        <f>I71</f>
        <v>3.6</v>
      </c>
      <c r="K31" s="126">
        <f t="shared" ref="K31:L31" si="16">J71</f>
        <v>3.6</v>
      </c>
      <c r="L31" s="127">
        <f t="shared" si="16"/>
        <v>3.6</v>
      </c>
      <c r="M31" s="314">
        <f t="shared" ref="M31:M33" si="17">N31</f>
        <v>3.6</v>
      </c>
      <c r="N31" s="222">
        <f>L71</f>
        <v>3.6</v>
      </c>
      <c r="O31" s="126">
        <f>N71</f>
        <v>3.911</v>
      </c>
      <c r="P31" s="126">
        <f t="shared" ref="P31:Q31" si="18">O71</f>
        <v>3.8769999999999998</v>
      </c>
      <c r="Q31" s="127">
        <f t="shared" si="18"/>
        <v>3.8530000000000002</v>
      </c>
      <c r="R31" s="4"/>
      <c r="S31" s="4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52" x14ac:dyDescent="0.25">
      <c r="A32" s="165" t="s">
        <v>89</v>
      </c>
      <c r="B32" s="35" t="s">
        <v>102</v>
      </c>
      <c r="C32" s="320">
        <f t="shared" si="13"/>
        <v>0.5</v>
      </c>
      <c r="D32" s="221">
        <v>0.5</v>
      </c>
      <c r="E32" s="126">
        <f t="shared" ref="E32:E33" si="19">D72</f>
        <v>0.53500000000000003</v>
      </c>
      <c r="F32" s="126">
        <f t="shared" ref="F32:G32" si="20">E72</f>
        <v>0.53500000000000003</v>
      </c>
      <c r="G32" s="127">
        <f t="shared" si="20"/>
        <v>0.53700000000000003</v>
      </c>
      <c r="H32" s="315">
        <f t="shared" si="15"/>
        <v>0.53600000000000003</v>
      </c>
      <c r="I32" s="222">
        <f t="shared" ref="I32:I33" si="21">G72</f>
        <v>0.53600000000000003</v>
      </c>
      <c r="J32" s="126">
        <f t="shared" ref="J32:J33" si="22">I72</f>
        <v>0.5</v>
      </c>
      <c r="K32" s="126">
        <f t="shared" ref="K32:L32" si="23">J72</f>
        <v>0.5</v>
      </c>
      <c r="L32" s="127">
        <f t="shared" si="23"/>
        <v>0.5</v>
      </c>
      <c r="M32" s="315">
        <f t="shared" si="17"/>
        <v>0.5</v>
      </c>
      <c r="N32" s="222">
        <f t="shared" ref="N32:N33" si="24">L72</f>
        <v>0.5</v>
      </c>
      <c r="O32" s="126">
        <f t="shared" ref="O32:Q32" si="25">N72</f>
        <v>0.46300000000000002</v>
      </c>
      <c r="P32" s="126">
        <f t="shared" si="25"/>
        <v>0.46800000000000003</v>
      </c>
      <c r="Q32" s="127">
        <f t="shared" si="25"/>
        <v>0.47099999999999997</v>
      </c>
      <c r="R32" s="4"/>
      <c r="S32" s="4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x14ac:dyDescent="0.25">
      <c r="A33" s="165" t="s">
        <v>90</v>
      </c>
      <c r="B33" s="35" t="s">
        <v>102</v>
      </c>
      <c r="C33" s="320">
        <f t="shared" si="13"/>
        <v>0.4</v>
      </c>
      <c r="D33" s="221">
        <v>0.4</v>
      </c>
      <c r="E33" s="126">
        <f t="shared" si="19"/>
        <v>0.15</v>
      </c>
      <c r="F33" s="126">
        <f t="shared" ref="F33:G33" si="26">E73</f>
        <v>0.154</v>
      </c>
      <c r="G33" s="127">
        <f t="shared" si="26"/>
        <v>0.155</v>
      </c>
      <c r="H33" s="315">
        <f t="shared" si="15"/>
        <v>0.155</v>
      </c>
      <c r="I33" s="222">
        <f t="shared" si="21"/>
        <v>0.155</v>
      </c>
      <c r="J33" s="126">
        <f t="shared" si="22"/>
        <v>0.25600000000000001</v>
      </c>
      <c r="K33" s="126">
        <f t="shared" ref="K33:L33" si="27">J73</f>
        <v>0.32</v>
      </c>
      <c r="L33" s="127">
        <f t="shared" si="27"/>
        <v>0.32300000000000001</v>
      </c>
      <c r="M33" s="315">
        <f t="shared" si="17"/>
        <v>0.34599999999999997</v>
      </c>
      <c r="N33" s="222">
        <f t="shared" si="24"/>
        <v>0.34599999999999997</v>
      </c>
      <c r="O33" s="126">
        <f t="shared" ref="O33:Q33" si="28">N73</f>
        <v>0.32300000000000001</v>
      </c>
      <c r="P33" s="126">
        <f t="shared" si="28"/>
        <v>0.25</v>
      </c>
      <c r="Q33" s="127">
        <f t="shared" si="28"/>
        <v>0.22700000000000001</v>
      </c>
      <c r="R33" s="4"/>
      <c r="S33" s="4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x14ac:dyDescent="0.25">
      <c r="A34" s="378" t="s">
        <v>7</v>
      </c>
      <c r="B34" s="379" t="s">
        <v>102</v>
      </c>
      <c r="C34" s="220">
        <f t="shared" ref="C34:Q34" si="29">SUM(C35:C37)</f>
        <v>29.083000000000002</v>
      </c>
      <c r="D34" s="318">
        <f t="shared" si="29"/>
        <v>7.2729999999999997</v>
      </c>
      <c r="E34" s="375">
        <f t="shared" si="29"/>
        <v>7.2700000000000005</v>
      </c>
      <c r="F34" s="375">
        <f t="shared" si="29"/>
        <v>7.2729999999999997</v>
      </c>
      <c r="G34" s="376">
        <f t="shared" si="29"/>
        <v>7.2669999999999995</v>
      </c>
      <c r="H34" s="224">
        <f t="shared" si="29"/>
        <v>13.976000000000001</v>
      </c>
      <c r="I34" s="318">
        <f t="shared" si="29"/>
        <v>3.492</v>
      </c>
      <c r="J34" s="375">
        <f t="shared" si="29"/>
        <v>3.4970000000000003</v>
      </c>
      <c r="K34" s="375">
        <f t="shared" si="29"/>
        <v>3.4979999999999998</v>
      </c>
      <c r="L34" s="376">
        <f t="shared" si="29"/>
        <v>3.4889999999999999</v>
      </c>
      <c r="M34" s="224">
        <f t="shared" si="29"/>
        <v>11.182</v>
      </c>
      <c r="N34" s="318">
        <f t="shared" si="29"/>
        <v>2.7949999999999999</v>
      </c>
      <c r="O34" s="375">
        <f t="shared" si="29"/>
        <v>2.7949999999999999</v>
      </c>
      <c r="P34" s="375">
        <f t="shared" si="29"/>
        <v>2.7960000000000003</v>
      </c>
      <c r="Q34" s="376">
        <f t="shared" si="29"/>
        <v>2.7960000000000003</v>
      </c>
    </row>
    <row r="35" spans="1:38" x14ac:dyDescent="0.25">
      <c r="A35" s="165" t="s">
        <v>114</v>
      </c>
      <c r="B35" s="35" t="s">
        <v>102</v>
      </c>
      <c r="C35" s="320">
        <f t="shared" ref="C35:C37" si="30">SUM(D35:G35)</f>
        <v>27.631</v>
      </c>
      <c r="D35" s="221">
        <v>6.907</v>
      </c>
      <c r="E35" s="125">
        <v>6.9080000000000004</v>
      </c>
      <c r="F35" s="125">
        <v>6.907</v>
      </c>
      <c r="G35" s="128">
        <v>6.9089999999999998</v>
      </c>
      <c r="H35" s="315">
        <f t="shared" ref="H35:H37" si="31">SUM(I35:L35)</f>
        <v>11.565000000000001</v>
      </c>
      <c r="I35" s="221">
        <v>2.891</v>
      </c>
      <c r="J35" s="125">
        <v>2.89</v>
      </c>
      <c r="K35" s="125">
        <v>2.891</v>
      </c>
      <c r="L35" s="128">
        <v>2.8929999999999998</v>
      </c>
      <c r="M35" s="315">
        <f t="shared" ref="M35:M37" si="32">SUM(N35:Q35)</f>
        <v>10.218</v>
      </c>
      <c r="N35" s="221">
        <v>2.5539999999999998</v>
      </c>
      <c r="O35" s="125">
        <v>2.5539999999999998</v>
      </c>
      <c r="P35" s="125">
        <v>2.5550000000000002</v>
      </c>
      <c r="Q35" s="128">
        <v>2.5550000000000002</v>
      </c>
    </row>
    <row r="36" spans="1:38" x14ac:dyDescent="0.25">
      <c r="A36" s="165" t="s">
        <v>89</v>
      </c>
      <c r="B36" s="35" t="s">
        <v>102</v>
      </c>
      <c r="C36" s="320">
        <f t="shared" si="30"/>
        <v>0.42300000000000004</v>
      </c>
      <c r="D36" s="221">
        <v>0.109</v>
      </c>
      <c r="E36" s="125">
        <v>0.105</v>
      </c>
      <c r="F36" s="125">
        <v>0.108</v>
      </c>
      <c r="G36" s="128">
        <v>0.10100000000000001</v>
      </c>
      <c r="H36" s="315">
        <f t="shared" si="31"/>
        <v>1.026</v>
      </c>
      <c r="I36" s="221">
        <v>0.255</v>
      </c>
      <c r="J36" s="125">
        <v>0.26100000000000001</v>
      </c>
      <c r="K36" s="125">
        <v>0.26</v>
      </c>
      <c r="L36" s="128">
        <v>0.25</v>
      </c>
      <c r="M36" s="315">
        <f t="shared" si="32"/>
        <v>0.73599999999999999</v>
      </c>
      <c r="N36" s="221">
        <v>0.184</v>
      </c>
      <c r="O36" s="125">
        <v>0.184</v>
      </c>
      <c r="P36" s="125">
        <v>0.184</v>
      </c>
      <c r="Q36" s="128">
        <v>0.184</v>
      </c>
    </row>
    <row r="37" spans="1:38" x14ac:dyDescent="0.25">
      <c r="A37" s="165" t="s">
        <v>90</v>
      </c>
      <c r="B37" s="35" t="s">
        <v>102</v>
      </c>
      <c r="C37" s="320">
        <f t="shared" si="30"/>
        <v>1.0289999999999999</v>
      </c>
      <c r="D37" s="221">
        <v>0.25700000000000001</v>
      </c>
      <c r="E37" s="125">
        <v>0.25700000000000001</v>
      </c>
      <c r="F37" s="125">
        <v>0.25800000000000001</v>
      </c>
      <c r="G37" s="128">
        <v>0.25700000000000001</v>
      </c>
      <c r="H37" s="315">
        <f t="shared" si="31"/>
        <v>1.3849999999999998</v>
      </c>
      <c r="I37" s="221">
        <v>0.34599999999999997</v>
      </c>
      <c r="J37" s="125">
        <v>0.34599999999999997</v>
      </c>
      <c r="K37" s="125">
        <v>0.34699999999999998</v>
      </c>
      <c r="L37" s="128">
        <v>0.34599999999999997</v>
      </c>
      <c r="M37" s="315">
        <f t="shared" si="32"/>
        <v>0.22800000000000001</v>
      </c>
      <c r="N37" s="221">
        <v>5.7000000000000002E-2</v>
      </c>
      <c r="O37" s="125">
        <v>5.7000000000000002E-2</v>
      </c>
      <c r="P37" s="125">
        <v>5.7000000000000002E-2</v>
      </c>
      <c r="Q37" s="128">
        <v>5.7000000000000002E-2</v>
      </c>
    </row>
    <row r="38" spans="1:38" x14ac:dyDescent="0.25">
      <c r="A38" s="378" t="s">
        <v>17</v>
      </c>
      <c r="B38" s="379" t="s">
        <v>102</v>
      </c>
      <c r="C38" s="220">
        <f t="shared" ref="C38:Q38" si="33">SUM(C39:C41)</f>
        <v>89.744</v>
      </c>
      <c r="D38" s="318">
        <f t="shared" si="33"/>
        <v>22.429000000000002</v>
      </c>
      <c r="E38" s="375">
        <f t="shared" si="33"/>
        <v>22.448</v>
      </c>
      <c r="F38" s="375">
        <f t="shared" si="33"/>
        <v>22.439999999999998</v>
      </c>
      <c r="G38" s="376">
        <f t="shared" si="33"/>
        <v>22.427</v>
      </c>
      <c r="H38" s="224">
        <f t="shared" si="33"/>
        <v>112.33900000000001</v>
      </c>
      <c r="I38" s="318">
        <f t="shared" si="33"/>
        <v>28.258000000000003</v>
      </c>
      <c r="J38" s="375">
        <f t="shared" si="33"/>
        <v>27.974999999999998</v>
      </c>
      <c r="K38" s="375">
        <f t="shared" si="33"/>
        <v>28.068999999999999</v>
      </c>
      <c r="L38" s="376">
        <f t="shared" si="33"/>
        <v>28.036999999999999</v>
      </c>
      <c r="M38" s="224">
        <f t="shared" si="33"/>
        <v>114.827</v>
      </c>
      <c r="N38" s="318">
        <f t="shared" si="33"/>
        <v>28.876999999999999</v>
      </c>
      <c r="O38" s="375">
        <f t="shared" si="33"/>
        <v>28.538</v>
      </c>
      <c r="P38" s="375">
        <f t="shared" si="33"/>
        <v>28.681000000000001</v>
      </c>
      <c r="Q38" s="376">
        <f t="shared" si="33"/>
        <v>28.731000000000002</v>
      </c>
    </row>
    <row r="39" spans="1:38" x14ac:dyDescent="0.25">
      <c r="A39" s="165" t="s">
        <v>114</v>
      </c>
      <c r="B39" s="35" t="s">
        <v>102</v>
      </c>
      <c r="C39" s="320">
        <f t="shared" ref="C39:C41" si="34">SUM(D39:G39)</f>
        <v>68.150999999999996</v>
      </c>
      <c r="D39" s="221">
        <v>17.029</v>
      </c>
      <c r="E39" s="125">
        <v>17.047000000000001</v>
      </c>
      <c r="F39" s="125">
        <v>17.047999999999998</v>
      </c>
      <c r="G39" s="128">
        <v>17.027000000000001</v>
      </c>
      <c r="H39" s="315">
        <f t="shared" ref="H39:H41" si="35">SUM(I39:L39)</f>
        <v>91.479000000000013</v>
      </c>
      <c r="I39" s="221">
        <v>23.068000000000001</v>
      </c>
      <c r="J39" s="125">
        <v>22.774999999999999</v>
      </c>
      <c r="K39" s="125">
        <v>22.818999999999999</v>
      </c>
      <c r="L39" s="128">
        <v>22.817</v>
      </c>
      <c r="M39" s="315">
        <f t="shared" ref="M39:M41" si="36">SUM(N39:Q39)</f>
        <v>92.826999999999998</v>
      </c>
      <c r="N39" s="221">
        <v>23.405999999999999</v>
      </c>
      <c r="O39" s="125">
        <v>23.111000000000001</v>
      </c>
      <c r="P39" s="125">
        <v>23.155000000000001</v>
      </c>
      <c r="Q39" s="128">
        <v>23.155000000000001</v>
      </c>
    </row>
    <row r="40" spans="1:38" x14ac:dyDescent="0.25">
      <c r="A40" s="165" t="s">
        <v>89</v>
      </c>
      <c r="B40" s="35" t="s">
        <v>102</v>
      </c>
      <c r="C40" s="320">
        <f t="shared" si="34"/>
        <v>20.313000000000002</v>
      </c>
      <c r="D40" s="221">
        <v>5.08</v>
      </c>
      <c r="E40" s="125">
        <v>5.0810000000000004</v>
      </c>
      <c r="F40" s="125">
        <v>5.0720000000000001</v>
      </c>
      <c r="G40" s="128">
        <v>5.08</v>
      </c>
      <c r="H40" s="315">
        <f t="shared" si="35"/>
        <v>19.66</v>
      </c>
      <c r="I40" s="221">
        <v>4.9000000000000004</v>
      </c>
      <c r="J40" s="125">
        <v>4.9000000000000004</v>
      </c>
      <c r="K40" s="125">
        <v>4.95</v>
      </c>
      <c r="L40" s="128">
        <v>4.91</v>
      </c>
      <c r="M40" s="315">
        <f t="shared" si="36"/>
        <v>19.95</v>
      </c>
      <c r="N40" s="221">
        <v>4.9710000000000001</v>
      </c>
      <c r="O40" s="125">
        <v>4.9770000000000003</v>
      </c>
      <c r="P40" s="125">
        <v>5.0259999999999998</v>
      </c>
      <c r="Q40" s="128">
        <v>4.976</v>
      </c>
    </row>
    <row r="41" spans="1:38" x14ac:dyDescent="0.25">
      <c r="A41" s="165" t="s">
        <v>90</v>
      </c>
      <c r="B41" s="35" t="s">
        <v>102</v>
      </c>
      <c r="C41" s="320">
        <f t="shared" si="34"/>
        <v>1.28</v>
      </c>
      <c r="D41" s="221">
        <v>0.32</v>
      </c>
      <c r="E41" s="125">
        <v>0.32</v>
      </c>
      <c r="F41" s="125">
        <v>0.32</v>
      </c>
      <c r="G41" s="128">
        <v>0.32</v>
      </c>
      <c r="H41" s="315">
        <f t="shared" si="35"/>
        <v>1.2</v>
      </c>
      <c r="I41" s="221">
        <v>0.28999999999999998</v>
      </c>
      <c r="J41" s="125">
        <v>0.3</v>
      </c>
      <c r="K41" s="125">
        <v>0.3</v>
      </c>
      <c r="L41" s="128">
        <v>0.31</v>
      </c>
      <c r="M41" s="315">
        <f t="shared" si="36"/>
        <v>2.0499999999999998</v>
      </c>
      <c r="N41" s="221">
        <v>0.5</v>
      </c>
      <c r="O41" s="125">
        <v>0.45</v>
      </c>
      <c r="P41" s="125">
        <v>0.5</v>
      </c>
      <c r="Q41" s="128">
        <v>0.6</v>
      </c>
    </row>
    <row r="42" spans="1:38" x14ac:dyDescent="0.25">
      <c r="A42" s="378" t="s">
        <v>18</v>
      </c>
      <c r="B42" s="379" t="s">
        <v>102</v>
      </c>
      <c r="C42" s="220">
        <f t="shared" ref="C42:Q42" si="37">SUM(C43:C45)</f>
        <v>122.977</v>
      </c>
      <c r="D42" s="318">
        <f t="shared" si="37"/>
        <v>33.851999999999997</v>
      </c>
      <c r="E42" s="375">
        <f t="shared" si="37"/>
        <v>33.654000000000003</v>
      </c>
      <c r="F42" s="375">
        <f t="shared" si="37"/>
        <v>33.658000000000001</v>
      </c>
      <c r="G42" s="376">
        <f t="shared" si="37"/>
        <v>33.641999999999996</v>
      </c>
      <c r="H42" s="224">
        <f t="shared" si="37"/>
        <v>130.25700000000003</v>
      </c>
      <c r="I42" s="318">
        <f t="shared" si="37"/>
        <v>35.692</v>
      </c>
      <c r="J42" s="375">
        <f t="shared" si="37"/>
        <v>35.828000000000003</v>
      </c>
      <c r="K42" s="375">
        <f t="shared" si="37"/>
        <v>35.986999999999995</v>
      </c>
      <c r="L42" s="376">
        <f t="shared" si="37"/>
        <v>35.948999999999998</v>
      </c>
      <c r="M42" s="224">
        <f t="shared" si="37"/>
        <v>130.45499999999998</v>
      </c>
      <c r="N42" s="318">
        <f t="shared" si="37"/>
        <v>36.117999999999995</v>
      </c>
      <c r="O42" s="375">
        <f t="shared" si="37"/>
        <v>36.03</v>
      </c>
      <c r="P42" s="375">
        <f t="shared" si="37"/>
        <v>36.072000000000003</v>
      </c>
      <c r="Q42" s="376">
        <f t="shared" si="37"/>
        <v>36.078000000000003</v>
      </c>
    </row>
    <row r="43" spans="1:38" x14ac:dyDescent="0.25">
      <c r="A43" s="165" t="s">
        <v>114</v>
      </c>
      <c r="B43" s="35" t="s">
        <v>102</v>
      </c>
      <c r="C43" s="320">
        <f t="shared" ref="C43:Q43" si="38">C31+C35+C39</f>
        <v>99.031999999999996</v>
      </c>
      <c r="D43" s="222">
        <f t="shared" si="38"/>
        <v>27.186</v>
      </c>
      <c r="E43" s="126">
        <f t="shared" si="38"/>
        <v>27.206000000000003</v>
      </c>
      <c r="F43" s="126">
        <f t="shared" si="38"/>
        <v>27.210999999999999</v>
      </c>
      <c r="G43" s="127">
        <f t="shared" si="38"/>
        <v>27.192</v>
      </c>
      <c r="H43" s="315">
        <f t="shared" si="38"/>
        <v>106.29500000000002</v>
      </c>
      <c r="I43" s="222">
        <f t="shared" si="38"/>
        <v>29.21</v>
      </c>
      <c r="J43" s="126">
        <f t="shared" si="38"/>
        <v>29.265000000000001</v>
      </c>
      <c r="K43" s="126">
        <f t="shared" si="38"/>
        <v>29.31</v>
      </c>
      <c r="L43" s="127">
        <f t="shared" si="38"/>
        <v>29.310000000000002</v>
      </c>
      <c r="M43" s="315">
        <f t="shared" si="38"/>
        <v>106.645</v>
      </c>
      <c r="N43" s="222">
        <f t="shared" si="38"/>
        <v>29.56</v>
      </c>
      <c r="O43" s="126">
        <f t="shared" si="38"/>
        <v>29.576000000000001</v>
      </c>
      <c r="P43" s="126">
        <f t="shared" si="38"/>
        <v>29.587000000000003</v>
      </c>
      <c r="Q43" s="127">
        <f t="shared" si="38"/>
        <v>29.563000000000002</v>
      </c>
    </row>
    <row r="44" spans="1:38" x14ac:dyDescent="0.25">
      <c r="A44" s="165" t="s">
        <v>89</v>
      </c>
      <c r="B44" s="35" t="s">
        <v>102</v>
      </c>
      <c r="C44" s="320">
        <f t="shared" ref="C44:Q44" si="39">C32+C36+C40</f>
        <v>21.236000000000004</v>
      </c>
      <c r="D44" s="222">
        <f t="shared" si="39"/>
        <v>5.6890000000000001</v>
      </c>
      <c r="E44" s="126">
        <f t="shared" si="39"/>
        <v>5.7210000000000001</v>
      </c>
      <c r="F44" s="126">
        <f t="shared" si="39"/>
        <v>5.7149999999999999</v>
      </c>
      <c r="G44" s="127">
        <f t="shared" si="39"/>
        <v>5.718</v>
      </c>
      <c r="H44" s="315">
        <f t="shared" si="39"/>
        <v>21.222000000000001</v>
      </c>
      <c r="I44" s="222">
        <f t="shared" si="39"/>
        <v>5.6910000000000007</v>
      </c>
      <c r="J44" s="126">
        <f t="shared" si="39"/>
        <v>5.6610000000000005</v>
      </c>
      <c r="K44" s="126">
        <f t="shared" si="39"/>
        <v>5.71</v>
      </c>
      <c r="L44" s="127">
        <f t="shared" si="39"/>
        <v>5.66</v>
      </c>
      <c r="M44" s="315">
        <f t="shared" si="39"/>
        <v>21.186</v>
      </c>
      <c r="N44" s="222">
        <f t="shared" si="39"/>
        <v>5.6550000000000002</v>
      </c>
      <c r="O44" s="126">
        <f t="shared" si="39"/>
        <v>5.6240000000000006</v>
      </c>
      <c r="P44" s="126">
        <f t="shared" si="39"/>
        <v>5.6779999999999999</v>
      </c>
      <c r="Q44" s="127">
        <f t="shared" si="39"/>
        <v>5.6310000000000002</v>
      </c>
    </row>
    <row r="45" spans="1:38" x14ac:dyDescent="0.25">
      <c r="A45" s="165" t="s">
        <v>90</v>
      </c>
      <c r="B45" s="35" t="s">
        <v>102</v>
      </c>
      <c r="C45" s="320">
        <f t="shared" ref="C45:Q45" si="40">C33+C37+C41</f>
        <v>2.7089999999999996</v>
      </c>
      <c r="D45" s="222">
        <f t="shared" si="40"/>
        <v>0.97700000000000009</v>
      </c>
      <c r="E45" s="126">
        <f t="shared" si="40"/>
        <v>0.72700000000000009</v>
      </c>
      <c r="F45" s="126">
        <f t="shared" si="40"/>
        <v>0.73199999999999998</v>
      </c>
      <c r="G45" s="127">
        <f t="shared" si="40"/>
        <v>0.73199999999999998</v>
      </c>
      <c r="H45" s="315">
        <f t="shared" si="40"/>
        <v>2.7399999999999998</v>
      </c>
      <c r="I45" s="222">
        <f t="shared" si="40"/>
        <v>0.79099999999999993</v>
      </c>
      <c r="J45" s="126">
        <f t="shared" si="40"/>
        <v>0.90199999999999991</v>
      </c>
      <c r="K45" s="126">
        <f t="shared" si="40"/>
        <v>0.96700000000000008</v>
      </c>
      <c r="L45" s="127">
        <f t="shared" si="40"/>
        <v>0.97900000000000009</v>
      </c>
      <c r="M45" s="315">
        <f t="shared" si="40"/>
        <v>2.6239999999999997</v>
      </c>
      <c r="N45" s="222">
        <f t="shared" si="40"/>
        <v>0.90300000000000002</v>
      </c>
      <c r="O45" s="126">
        <f t="shared" si="40"/>
        <v>0.83000000000000007</v>
      </c>
      <c r="P45" s="126">
        <f t="shared" si="40"/>
        <v>0.80699999999999994</v>
      </c>
      <c r="Q45" s="127">
        <f t="shared" si="40"/>
        <v>0.88400000000000001</v>
      </c>
    </row>
    <row r="46" spans="1:38" x14ac:dyDescent="0.25">
      <c r="A46" s="378" t="s">
        <v>91</v>
      </c>
      <c r="B46" s="379" t="s">
        <v>102</v>
      </c>
      <c r="C46" s="220">
        <f>SUM(C47:C49)</f>
        <v>95.090999999999994</v>
      </c>
      <c r="D46" s="220">
        <f t="shared" ref="D46:P46" si="41">SUM(D47:D49)</f>
        <v>23.946000000000002</v>
      </c>
      <c r="E46" s="552">
        <f t="shared" si="41"/>
        <v>23.713000000000001</v>
      </c>
      <c r="F46" s="552">
        <f t="shared" si="41"/>
        <v>23.718</v>
      </c>
      <c r="G46" s="224">
        <f t="shared" si="41"/>
        <v>23.714000000000002</v>
      </c>
      <c r="H46" s="220">
        <f t="shared" si="41"/>
        <v>98.977000000000004</v>
      </c>
      <c r="I46" s="220">
        <f t="shared" si="41"/>
        <v>24.681000000000001</v>
      </c>
      <c r="J46" s="552">
        <f t="shared" si="41"/>
        <v>24.751000000000001</v>
      </c>
      <c r="K46" s="552">
        <f t="shared" si="41"/>
        <v>24.8</v>
      </c>
      <c r="L46" s="224">
        <f t="shared" si="41"/>
        <v>24.745000000000001</v>
      </c>
      <c r="M46" s="220">
        <f t="shared" si="41"/>
        <v>98.917000000000002</v>
      </c>
      <c r="N46" s="220">
        <f t="shared" si="41"/>
        <v>24.731000000000002</v>
      </c>
      <c r="O46" s="552">
        <f t="shared" si="41"/>
        <v>24.751000000000001</v>
      </c>
      <c r="P46" s="552">
        <f t="shared" si="41"/>
        <v>24.740000000000002</v>
      </c>
      <c r="Q46" s="553">
        <f>SUM(Q47:Q49)</f>
        <v>24.695</v>
      </c>
    </row>
    <row r="47" spans="1:38" x14ac:dyDescent="0.25">
      <c r="A47" s="165" t="s">
        <v>114</v>
      </c>
      <c r="B47" s="35" t="s">
        <v>102</v>
      </c>
      <c r="C47" s="320">
        <f t="shared" ref="C47" si="42">C51+C55</f>
        <v>74.194000000000003</v>
      </c>
      <c r="D47" s="222">
        <f>D51+D55</f>
        <v>18.55</v>
      </c>
      <c r="E47" s="126">
        <f t="shared" ref="E47:Q47" si="43">E51+E55</f>
        <v>18.548999999999999</v>
      </c>
      <c r="F47" s="126">
        <f t="shared" si="43"/>
        <v>18.55</v>
      </c>
      <c r="G47" s="127">
        <f t="shared" si="43"/>
        <v>18.545000000000002</v>
      </c>
      <c r="H47" s="315">
        <f t="shared" si="43"/>
        <v>78.25</v>
      </c>
      <c r="I47" s="222">
        <f t="shared" si="43"/>
        <v>19.55</v>
      </c>
      <c r="J47" s="126">
        <f t="shared" si="43"/>
        <v>19.600000000000001</v>
      </c>
      <c r="K47" s="126">
        <f t="shared" si="43"/>
        <v>19.55</v>
      </c>
      <c r="L47" s="127">
        <f t="shared" si="43"/>
        <v>19.55</v>
      </c>
      <c r="M47" s="543">
        <f t="shared" si="43"/>
        <v>78.25</v>
      </c>
      <c r="N47" s="222">
        <f t="shared" si="43"/>
        <v>19.55</v>
      </c>
      <c r="O47" s="126">
        <f t="shared" si="43"/>
        <v>19.600000000000001</v>
      </c>
      <c r="P47" s="126">
        <f t="shared" si="43"/>
        <v>19.55</v>
      </c>
      <c r="Q47" s="127">
        <f t="shared" si="43"/>
        <v>19.55</v>
      </c>
    </row>
    <row r="48" spans="1:38" x14ac:dyDescent="0.25">
      <c r="A48" s="165" t="s">
        <v>89</v>
      </c>
      <c r="B48" s="35" t="s">
        <v>102</v>
      </c>
      <c r="C48" s="320">
        <f t="shared" ref="C48:Q48" si="44">C52+C56</f>
        <v>18.466000000000001</v>
      </c>
      <c r="D48" s="222">
        <f t="shared" si="44"/>
        <v>4.5990000000000002</v>
      </c>
      <c r="E48" s="126">
        <f t="shared" si="44"/>
        <v>4.6210000000000004</v>
      </c>
      <c r="F48" s="126">
        <f t="shared" si="44"/>
        <v>4.6219999999999999</v>
      </c>
      <c r="G48" s="127">
        <f t="shared" si="44"/>
        <v>4.6239999999999997</v>
      </c>
      <c r="H48" s="315">
        <f t="shared" si="44"/>
        <v>18.466999999999999</v>
      </c>
      <c r="I48" s="222">
        <f t="shared" si="44"/>
        <v>4.6310000000000002</v>
      </c>
      <c r="J48" s="126">
        <f t="shared" si="44"/>
        <v>4.601</v>
      </c>
      <c r="K48" s="126">
        <f t="shared" si="44"/>
        <v>4.6399999999999997</v>
      </c>
      <c r="L48" s="127">
        <f t="shared" si="44"/>
        <v>4.5949999999999998</v>
      </c>
      <c r="M48" s="543">
        <f t="shared" si="44"/>
        <v>18.466999999999999</v>
      </c>
      <c r="N48" s="222">
        <f t="shared" si="44"/>
        <v>4.6310000000000002</v>
      </c>
      <c r="O48" s="126">
        <f t="shared" si="44"/>
        <v>4.601</v>
      </c>
      <c r="P48" s="126">
        <f t="shared" si="44"/>
        <v>4.6399999999999997</v>
      </c>
      <c r="Q48" s="127">
        <f t="shared" si="44"/>
        <v>4.5949999999999998</v>
      </c>
    </row>
    <row r="49" spans="1:18" x14ac:dyDescent="0.25">
      <c r="A49" s="165" t="s">
        <v>90</v>
      </c>
      <c r="B49" s="35" t="s">
        <v>102</v>
      </c>
      <c r="C49" s="320">
        <f t="shared" ref="C49:Q49" si="45">C53+C57</f>
        <v>2.431</v>
      </c>
      <c r="D49" s="222">
        <f t="shared" si="45"/>
        <v>0.79700000000000004</v>
      </c>
      <c r="E49" s="126">
        <f t="shared" si="45"/>
        <v>0.54300000000000004</v>
      </c>
      <c r="F49" s="126">
        <f t="shared" si="45"/>
        <v>0.54600000000000004</v>
      </c>
      <c r="G49" s="127">
        <f t="shared" si="45"/>
        <v>0.54500000000000004</v>
      </c>
      <c r="H49" s="315">
        <f t="shared" si="45"/>
        <v>2.2600000000000002</v>
      </c>
      <c r="I49" s="222">
        <f t="shared" si="45"/>
        <v>0.5</v>
      </c>
      <c r="J49" s="126">
        <f t="shared" si="45"/>
        <v>0.55000000000000004</v>
      </c>
      <c r="K49" s="126">
        <f t="shared" si="45"/>
        <v>0.61</v>
      </c>
      <c r="L49" s="127">
        <f t="shared" si="45"/>
        <v>0.6</v>
      </c>
      <c r="M49" s="543">
        <f t="shared" si="45"/>
        <v>2.2000000000000002</v>
      </c>
      <c r="N49" s="222">
        <f t="shared" si="45"/>
        <v>0.55000000000000004</v>
      </c>
      <c r="O49" s="126">
        <f t="shared" si="45"/>
        <v>0.55000000000000004</v>
      </c>
      <c r="P49" s="126">
        <f t="shared" si="45"/>
        <v>0.55000000000000004</v>
      </c>
      <c r="Q49" s="127">
        <f t="shared" si="45"/>
        <v>0.55000000000000004</v>
      </c>
    </row>
    <row r="50" spans="1:18" x14ac:dyDescent="0.25">
      <c r="A50" s="378" t="s">
        <v>136</v>
      </c>
      <c r="B50" s="379" t="s">
        <v>102</v>
      </c>
      <c r="C50" s="220">
        <f t="shared" ref="C50:Q50" si="46">SUM(C51:C53)</f>
        <v>95.090999999999994</v>
      </c>
      <c r="D50" s="318">
        <f t="shared" si="46"/>
        <v>23.946000000000002</v>
      </c>
      <c r="E50" s="375">
        <f t="shared" si="46"/>
        <v>23.713000000000001</v>
      </c>
      <c r="F50" s="375">
        <f t="shared" si="46"/>
        <v>23.718</v>
      </c>
      <c r="G50" s="376">
        <f t="shared" si="46"/>
        <v>23.714000000000002</v>
      </c>
      <c r="H50" s="224">
        <f t="shared" si="46"/>
        <v>98.977000000000004</v>
      </c>
      <c r="I50" s="318">
        <f t="shared" si="46"/>
        <v>24.681000000000001</v>
      </c>
      <c r="J50" s="375">
        <f t="shared" si="46"/>
        <v>24.751000000000001</v>
      </c>
      <c r="K50" s="375">
        <f t="shared" si="46"/>
        <v>24.8</v>
      </c>
      <c r="L50" s="376">
        <f t="shared" si="46"/>
        <v>24.745000000000001</v>
      </c>
      <c r="M50" s="224">
        <f t="shared" si="46"/>
        <v>98.917000000000002</v>
      </c>
      <c r="N50" s="318">
        <f t="shared" si="46"/>
        <v>24.731000000000002</v>
      </c>
      <c r="O50" s="375">
        <f t="shared" si="46"/>
        <v>24.751000000000001</v>
      </c>
      <c r="P50" s="375">
        <f t="shared" si="46"/>
        <v>24.740000000000002</v>
      </c>
      <c r="Q50" s="376">
        <f t="shared" si="46"/>
        <v>24.695</v>
      </c>
    </row>
    <row r="51" spans="1:18" x14ac:dyDescent="0.25">
      <c r="A51" s="165" t="s">
        <v>114</v>
      </c>
      <c r="B51" s="35" t="s">
        <v>102</v>
      </c>
      <c r="C51" s="320">
        <f t="shared" ref="C51:C57" si="47">SUM(D51:G51)</f>
        <v>74.194000000000003</v>
      </c>
      <c r="D51" s="551">
        <v>18.55</v>
      </c>
      <c r="E51" s="134">
        <v>18.548999999999999</v>
      </c>
      <c r="F51" s="134">
        <v>18.55</v>
      </c>
      <c r="G51" s="125">
        <v>18.545000000000002</v>
      </c>
      <c r="H51" s="320">
        <f t="shared" ref="H51:H53" si="48">SUM(I51:L51)</f>
        <v>78.25</v>
      </c>
      <c r="I51" s="551">
        <v>19.55</v>
      </c>
      <c r="J51" s="134">
        <v>19.600000000000001</v>
      </c>
      <c r="K51" s="134">
        <v>19.55</v>
      </c>
      <c r="L51" s="125">
        <v>19.55</v>
      </c>
      <c r="M51" s="320">
        <f t="shared" ref="M51:M53" si="49">SUM(N51:Q51)</f>
        <v>78.25</v>
      </c>
      <c r="N51" s="551">
        <v>19.55</v>
      </c>
      <c r="O51" s="134">
        <v>19.600000000000001</v>
      </c>
      <c r="P51" s="134">
        <v>19.55</v>
      </c>
      <c r="Q51" s="128">
        <v>19.55</v>
      </c>
    </row>
    <row r="52" spans="1:18" x14ac:dyDescent="0.25">
      <c r="A52" s="165" t="s">
        <v>89</v>
      </c>
      <c r="B52" s="35" t="s">
        <v>102</v>
      </c>
      <c r="C52" s="320">
        <f t="shared" si="47"/>
        <v>18.466000000000001</v>
      </c>
      <c r="D52" s="551">
        <v>4.5990000000000002</v>
      </c>
      <c r="E52" s="134">
        <v>4.6210000000000004</v>
      </c>
      <c r="F52" s="134">
        <v>4.6219999999999999</v>
      </c>
      <c r="G52" s="125">
        <v>4.6239999999999997</v>
      </c>
      <c r="H52" s="320">
        <f t="shared" si="48"/>
        <v>18.466999999999999</v>
      </c>
      <c r="I52" s="551">
        <v>4.6310000000000002</v>
      </c>
      <c r="J52" s="134">
        <v>4.601</v>
      </c>
      <c r="K52" s="134">
        <v>4.6399999999999997</v>
      </c>
      <c r="L52" s="125">
        <v>4.5949999999999998</v>
      </c>
      <c r="M52" s="320">
        <f t="shared" si="49"/>
        <v>18.466999999999999</v>
      </c>
      <c r="N52" s="551">
        <v>4.6310000000000002</v>
      </c>
      <c r="O52" s="134">
        <v>4.601</v>
      </c>
      <c r="P52" s="134">
        <v>4.6399999999999997</v>
      </c>
      <c r="Q52" s="128">
        <v>4.5949999999999998</v>
      </c>
    </row>
    <row r="53" spans="1:18" x14ac:dyDescent="0.25">
      <c r="A53" s="165" t="s">
        <v>90</v>
      </c>
      <c r="B53" s="35" t="s">
        <v>102</v>
      </c>
      <c r="C53" s="320">
        <f t="shared" si="47"/>
        <v>2.431</v>
      </c>
      <c r="D53" s="551">
        <v>0.79700000000000004</v>
      </c>
      <c r="E53" s="134">
        <v>0.54300000000000004</v>
      </c>
      <c r="F53" s="134">
        <v>0.54600000000000004</v>
      </c>
      <c r="G53" s="125">
        <v>0.54500000000000004</v>
      </c>
      <c r="H53" s="320">
        <f t="shared" si="48"/>
        <v>2.2600000000000002</v>
      </c>
      <c r="I53" s="551">
        <v>0.5</v>
      </c>
      <c r="J53" s="134">
        <v>0.55000000000000004</v>
      </c>
      <c r="K53" s="134">
        <v>0.61</v>
      </c>
      <c r="L53" s="125">
        <v>0.6</v>
      </c>
      <c r="M53" s="320">
        <f t="shared" si="49"/>
        <v>2.2000000000000002</v>
      </c>
      <c r="N53" s="551">
        <v>0.55000000000000004</v>
      </c>
      <c r="O53" s="134">
        <v>0.55000000000000004</v>
      </c>
      <c r="P53" s="134">
        <v>0.55000000000000004</v>
      </c>
      <c r="Q53" s="128">
        <v>0.55000000000000004</v>
      </c>
    </row>
    <row r="54" spans="1:18" x14ac:dyDescent="0.25">
      <c r="A54" s="378" t="s">
        <v>137</v>
      </c>
      <c r="B54" s="379" t="s">
        <v>102</v>
      </c>
      <c r="C54" s="220">
        <f t="shared" ref="C54:Q54" si="50">SUM(C55:C57)</f>
        <v>0</v>
      </c>
      <c r="D54" s="318">
        <f t="shared" si="50"/>
        <v>0</v>
      </c>
      <c r="E54" s="375">
        <f t="shared" si="50"/>
        <v>0</v>
      </c>
      <c r="F54" s="375">
        <f t="shared" si="50"/>
        <v>0</v>
      </c>
      <c r="G54" s="376">
        <f t="shared" si="50"/>
        <v>0</v>
      </c>
      <c r="H54" s="224">
        <f t="shared" si="50"/>
        <v>0</v>
      </c>
      <c r="I54" s="318">
        <f t="shared" si="50"/>
        <v>0</v>
      </c>
      <c r="J54" s="375">
        <f t="shared" si="50"/>
        <v>0</v>
      </c>
      <c r="K54" s="375">
        <f t="shared" si="50"/>
        <v>0</v>
      </c>
      <c r="L54" s="376">
        <f t="shared" si="50"/>
        <v>0</v>
      </c>
      <c r="M54" s="224">
        <f t="shared" si="50"/>
        <v>0</v>
      </c>
      <c r="N54" s="318">
        <f t="shared" si="50"/>
        <v>0</v>
      </c>
      <c r="O54" s="375">
        <f t="shared" si="50"/>
        <v>0</v>
      </c>
      <c r="P54" s="375">
        <f t="shared" si="50"/>
        <v>0</v>
      </c>
      <c r="Q54" s="376">
        <f t="shared" si="50"/>
        <v>0</v>
      </c>
    </row>
    <row r="55" spans="1:18" x14ac:dyDescent="0.25">
      <c r="A55" s="165" t="s">
        <v>114</v>
      </c>
      <c r="B55" s="35" t="s">
        <v>102</v>
      </c>
      <c r="C55" s="320">
        <f t="shared" si="47"/>
        <v>0</v>
      </c>
      <c r="D55" s="551">
        <v>0</v>
      </c>
      <c r="E55" s="134">
        <v>0</v>
      </c>
      <c r="F55" s="134">
        <v>0</v>
      </c>
      <c r="G55" s="125">
        <v>0</v>
      </c>
      <c r="H55" s="320">
        <f t="shared" ref="H55:H57" si="51">SUM(I55:L55)</f>
        <v>0</v>
      </c>
      <c r="I55" s="551">
        <v>0</v>
      </c>
      <c r="J55" s="134">
        <v>0</v>
      </c>
      <c r="K55" s="134">
        <v>0</v>
      </c>
      <c r="L55" s="125">
        <v>0</v>
      </c>
      <c r="M55" s="320">
        <f t="shared" ref="M55:M57" si="52">SUM(N55:Q55)</f>
        <v>0</v>
      </c>
      <c r="N55" s="551">
        <v>0</v>
      </c>
      <c r="O55" s="134">
        <v>0</v>
      </c>
      <c r="P55" s="134">
        <v>0</v>
      </c>
      <c r="Q55" s="128">
        <v>0</v>
      </c>
    </row>
    <row r="56" spans="1:18" x14ac:dyDescent="0.25">
      <c r="A56" s="165" t="s">
        <v>89</v>
      </c>
      <c r="B56" s="35" t="s">
        <v>102</v>
      </c>
      <c r="C56" s="320">
        <f t="shared" si="47"/>
        <v>0</v>
      </c>
      <c r="D56" s="551">
        <v>0</v>
      </c>
      <c r="E56" s="134">
        <v>0</v>
      </c>
      <c r="F56" s="134">
        <v>0</v>
      </c>
      <c r="G56" s="125">
        <v>0</v>
      </c>
      <c r="H56" s="320">
        <f t="shared" si="51"/>
        <v>0</v>
      </c>
      <c r="I56" s="551">
        <v>0</v>
      </c>
      <c r="J56" s="134">
        <v>0</v>
      </c>
      <c r="K56" s="134">
        <v>0</v>
      </c>
      <c r="L56" s="125">
        <v>0</v>
      </c>
      <c r="M56" s="320">
        <f t="shared" si="52"/>
        <v>0</v>
      </c>
      <c r="N56" s="551">
        <v>0</v>
      </c>
      <c r="O56" s="134">
        <v>0</v>
      </c>
      <c r="P56" s="134">
        <v>0</v>
      </c>
      <c r="Q56" s="128">
        <v>0</v>
      </c>
    </row>
    <row r="57" spans="1:18" x14ac:dyDescent="0.25">
      <c r="A57" s="165" t="s">
        <v>90</v>
      </c>
      <c r="B57" s="35" t="s">
        <v>102</v>
      </c>
      <c r="C57" s="320">
        <f t="shared" si="47"/>
        <v>0</v>
      </c>
      <c r="D57" s="551">
        <v>0</v>
      </c>
      <c r="E57" s="134">
        <v>0</v>
      </c>
      <c r="F57" s="134">
        <v>0</v>
      </c>
      <c r="G57" s="125">
        <v>0</v>
      </c>
      <c r="H57" s="320">
        <f t="shared" si="51"/>
        <v>0</v>
      </c>
      <c r="I57" s="551">
        <v>0</v>
      </c>
      <c r="J57" s="134">
        <v>0</v>
      </c>
      <c r="K57" s="134">
        <v>0</v>
      </c>
      <c r="L57" s="125">
        <v>0</v>
      </c>
      <c r="M57" s="320">
        <f t="shared" si="52"/>
        <v>0</v>
      </c>
      <c r="N57" s="551">
        <v>0</v>
      </c>
      <c r="O57" s="134">
        <v>0</v>
      </c>
      <c r="P57" s="134">
        <v>0</v>
      </c>
      <c r="Q57" s="128">
        <v>0</v>
      </c>
    </row>
    <row r="58" spans="1:18" x14ac:dyDescent="0.25">
      <c r="A58" s="378" t="s">
        <v>5</v>
      </c>
      <c r="B58" s="379" t="s">
        <v>102</v>
      </c>
      <c r="C58" s="220">
        <f t="shared" ref="C58:Q58" si="53">SUM(C59:C61)</f>
        <v>0</v>
      </c>
      <c r="D58" s="318">
        <f t="shared" si="53"/>
        <v>0</v>
      </c>
      <c r="E58" s="375">
        <f t="shared" si="53"/>
        <v>0</v>
      </c>
      <c r="F58" s="375">
        <f t="shared" si="53"/>
        <v>0</v>
      </c>
      <c r="G58" s="376">
        <f t="shared" si="53"/>
        <v>0</v>
      </c>
      <c r="H58" s="224">
        <f t="shared" si="53"/>
        <v>0</v>
      </c>
      <c r="I58" s="318">
        <f t="shared" si="53"/>
        <v>0</v>
      </c>
      <c r="J58" s="375">
        <f t="shared" si="53"/>
        <v>0</v>
      </c>
      <c r="K58" s="375">
        <f t="shared" si="53"/>
        <v>0</v>
      </c>
      <c r="L58" s="376">
        <f t="shared" si="53"/>
        <v>0</v>
      </c>
      <c r="M58" s="224">
        <f t="shared" si="53"/>
        <v>0</v>
      </c>
      <c r="N58" s="318">
        <f t="shared" si="53"/>
        <v>0</v>
      </c>
      <c r="O58" s="375">
        <f t="shared" si="53"/>
        <v>0</v>
      </c>
      <c r="P58" s="375">
        <f t="shared" si="53"/>
        <v>0</v>
      </c>
      <c r="Q58" s="376">
        <f t="shared" si="53"/>
        <v>0</v>
      </c>
    </row>
    <row r="59" spans="1:18" x14ac:dyDescent="0.25">
      <c r="A59" s="165" t="s">
        <v>114</v>
      </c>
      <c r="B59" s="35" t="s">
        <v>102</v>
      </c>
      <c r="C59" s="320">
        <f t="shared" ref="C59:C61" si="54">SUM(D59:G59)</f>
        <v>0</v>
      </c>
      <c r="D59" s="221">
        <v>0</v>
      </c>
      <c r="E59" s="125">
        <v>0</v>
      </c>
      <c r="F59" s="125">
        <v>0</v>
      </c>
      <c r="G59" s="128">
        <v>0</v>
      </c>
      <c r="H59" s="315">
        <f t="shared" ref="H59:H61" si="55">SUM(I59:L59)</f>
        <v>0</v>
      </c>
      <c r="I59" s="221">
        <v>0</v>
      </c>
      <c r="J59" s="125">
        <v>0</v>
      </c>
      <c r="K59" s="125">
        <v>0</v>
      </c>
      <c r="L59" s="128">
        <v>0</v>
      </c>
      <c r="M59" s="315">
        <f t="shared" ref="M59:M61" si="56">SUM(N59:Q59)</f>
        <v>0</v>
      </c>
      <c r="N59" s="221">
        <v>0</v>
      </c>
      <c r="O59" s="125">
        <v>0</v>
      </c>
      <c r="P59" s="125">
        <v>0</v>
      </c>
      <c r="Q59" s="128">
        <v>0</v>
      </c>
      <c r="R59" s="7"/>
    </row>
    <row r="60" spans="1:18" x14ac:dyDescent="0.25">
      <c r="A60" s="165" t="s">
        <v>89</v>
      </c>
      <c r="B60" s="35" t="s">
        <v>102</v>
      </c>
      <c r="C60" s="320">
        <f t="shared" si="54"/>
        <v>0</v>
      </c>
      <c r="D60" s="221">
        <v>0</v>
      </c>
      <c r="E60" s="125">
        <v>0</v>
      </c>
      <c r="F60" s="125">
        <v>0</v>
      </c>
      <c r="G60" s="128">
        <v>0</v>
      </c>
      <c r="H60" s="315">
        <f t="shared" si="55"/>
        <v>0</v>
      </c>
      <c r="I60" s="221">
        <v>0</v>
      </c>
      <c r="J60" s="125">
        <v>0</v>
      </c>
      <c r="K60" s="125">
        <v>0</v>
      </c>
      <c r="L60" s="128">
        <v>0</v>
      </c>
      <c r="M60" s="315">
        <f t="shared" si="56"/>
        <v>0</v>
      </c>
      <c r="N60" s="221">
        <v>0</v>
      </c>
      <c r="O60" s="125">
        <v>0</v>
      </c>
      <c r="P60" s="125">
        <v>0</v>
      </c>
      <c r="Q60" s="128">
        <v>0</v>
      </c>
      <c r="R60" s="7"/>
    </row>
    <row r="61" spans="1:18" x14ac:dyDescent="0.25">
      <c r="A61" s="165" t="s">
        <v>90</v>
      </c>
      <c r="B61" s="35" t="s">
        <v>102</v>
      </c>
      <c r="C61" s="320">
        <f t="shared" si="54"/>
        <v>0</v>
      </c>
      <c r="D61" s="221">
        <v>0</v>
      </c>
      <c r="E61" s="125">
        <v>0</v>
      </c>
      <c r="F61" s="125">
        <v>0</v>
      </c>
      <c r="G61" s="128">
        <v>0</v>
      </c>
      <c r="H61" s="315">
        <f t="shared" si="55"/>
        <v>0</v>
      </c>
      <c r="I61" s="221">
        <v>0</v>
      </c>
      <c r="J61" s="125">
        <v>0</v>
      </c>
      <c r="K61" s="125">
        <v>0</v>
      </c>
      <c r="L61" s="128">
        <v>0</v>
      </c>
      <c r="M61" s="315">
        <f t="shared" si="56"/>
        <v>0</v>
      </c>
      <c r="N61" s="221">
        <v>0</v>
      </c>
      <c r="O61" s="125">
        <v>0</v>
      </c>
      <c r="P61" s="125">
        <v>0</v>
      </c>
      <c r="Q61" s="128">
        <v>0</v>
      </c>
      <c r="R61" s="7"/>
    </row>
    <row r="62" spans="1:18" x14ac:dyDescent="0.25">
      <c r="A62" s="378" t="s">
        <v>19</v>
      </c>
      <c r="B62" s="379" t="s">
        <v>102</v>
      </c>
      <c r="C62" s="220">
        <f t="shared" ref="C62:Q62" si="57">SUM(C63:C65)</f>
        <v>17.126000000000001</v>
      </c>
      <c r="D62" s="318">
        <f t="shared" si="57"/>
        <v>4.2649999999999997</v>
      </c>
      <c r="E62" s="375">
        <f t="shared" si="57"/>
        <v>4.2910000000000004</v>
      </c>
      <c r="F62" s="375">
        <f t="shared" si="57"/>
        <v>4.2859999999999996</v>
      </c>
      <c r="G62" s="376">
        <f t="shared" si="57"/>
        <v>4.2839999999999998</v>
      </c>
      <c r="H62" s="224">
        <f t="shared" si="57"/>
        <v>19.980000000000004</v>
      </c>
      <c r="I62" s="318">
        <f t="shared" si="57"/>
        <v>4.9410000000000007</v>
      </c>
      <c r="J62" s="375">
        <f t="shared" si="57"/>
        <v>4.9400000000000004</v>
      </c>
      <c r="K62" s="375">
        <f t="shared" si="57"/>
        <v>5.0519999999999996</v>
      </c>
      <c r="L62" s="376">
        <f t="shared" si="57"/>
        <v>5.0469999999999997</v>
      </c>
      <c r="M62" s="224">
        <f t="shared" si="57"/>
        <v>19.975000000000001</v>
      </c>
      <c r="N62" s="318">
        <f t="shared" si="57"/>
        <v>4.9400000000000004</v>
      </c>
      <c r="O62" s="375">
        <f t="shared" si="57"/>
        <v>4.9400000000000004</v>
      </c>
      <c r="P62" s="375">
        <f t="shared" si="57"/>
        <v>5.05</v>
      </c>
      <c r="Q62" s="376">
        <f t="shared" si="57"/>
        <v>5.0449999999999999</v>
      </c>
    </row>
    <row r="63" spans="1:18" x14ac:dyDescent="0.25">
      <c r="A63" s="165" t="s">
        <v>114</v>
      </c>
      <c r="B63" s="35" t="s">
        <v>102</v>
      </c>
      <c r="C63" s="320">
        <f t="shared" ref="C63:C65" si="58">SUM(D63:G63)</f>
        <v>16.957000000000001</v>
      </c>
      <c r="D63" s="221">
        <v>4.2249999999999996</v>
      </c>
      <c r="E63" s="125">
        <v>4.2460000000000004</v>
      </c>
      <c r="F63" s="125">
        <v>4.2450000000000001</v>
      </c>
      <c r="G63" s="128">
        <v>4.2409999999999997</v>
      </c>
      <c r="H63" s="315">
        <f t="shared" ref="H63:H65" si="59">SUM(I63:L63)</f>
        <v>19.8</v>
      </c>
      <c r="I63" s="221">
        <v>4.9000000000000004</v>
      </c>
      <c r="J63" s="125">
        <v>4.9000000000000004</v>
      </c>
      <c r="K63" s="125">
        <v>5</v>
      </c>
      <c r="L63" s="128">
        <v>5</v>
      </c>
      <c r="M63" s="315">
        <f t="shared" ref="M63:M65" si="60">SUM(N63:Q63)</f>
        <v>19.8</v>
      </c>
      <c r="N63" s="221">
        <v>4.9000000000000004</v>
      </c>
      <c r="O63" s="125">
        <v>4.9000000000000004</v>
      </c>
      <c r="P63" s="125">
        <v>5</v>
      </c>
      <c r="Q63" s="128">
        <v>5</v>
      </c>
    </row>
    <row r="64" spans="1:18" x14ac:dyDescent="0.25">
      <c r="A64" s="165" t="s">
        <v>89</v>
      </c>
      <c r="B64" s="35" t="s">
        <v>102</v>
      </c>
      <c r="C64" s="320">
        <f t="shared" si="58"/>
        <v>0.129</v>
      </c>
      <c r="D64" s="221">
        <v>0.03</v>
      </c>
      <c r="E64" s="125">
        <v>3.5000000000000003E-2</v>
      </c>
      <c r="F64" s="125">
        <v>3.1E-2</v>
      </c>
      <c r="G64" s="128">
        <v>3.3000000000000002E-2</v>
      </c>
      <c r="H64" s="315">
        <f t="shared" si="59"/>
        <v>0.13500000000000001</v>
      </c>
      <c r="I64" s="221">
        <v>0.03</v>
      </c>
      <c r="J64" s="125">
        <v>0.03</v>
      </c>
      <c r="K64" s="125">
        <v>0.04</v>
      </c>
      <c r="L64" s="128">
        <v>3.5000000000000003E-2</v>
      </c>
      <c r="M64" s="315">
        <f t="shared" si="60"/>
        <v>0.13500000000000001</v>
      </c>
      <c r="N64" s="221">
        <v>0.03</v>
      </c>
      <c r="O64" s="125">
        <v>0.03</v>
      </c>
      <c r="P64" s="125">
        <v>0.04</v>
      </c>
      <c r="Q64" s="128">
        <v>3.5000000000000003E-2</v>
      </c>
    </row>
    <row r="65" spans="1:38" x14ac:dyDescent="0.25">
      <c r="A65" s="165" t="s">
        <v>90</v>
      </c>
      <c r="B65" s="35" t="s">
        <v>102</v>
      </c>
      <c r="C65" s="320">
        <f t="shared" si="58"/>
        <v>0.04</v>
      </c>
      <c r="D65" s="221">
        <v>0.01</v>
      </c>
      <c r="E65" s="125">
        <v>0.01</v>
      </c>
      <c r="F65" s="125">
        <v>0.01</v>
      </c>
      <c r="G65" s="128">
        <v>0.01</v>
      </c>
      <c r="H65" s="315">
        <f t="shared" si="59"/>
        <v>4.4999999999999998E-2</v>
      </c>
      <c r="I65" s="221">
        <v>1.0999999999999999E-2</v>
      </c>
      <c r="J65" s="125">
        <v>0.01</v>
      </c>
      <c r="K65" s="125">
        <v>1.2E-2</v>
      </c>
      <c r="L65" s="128">
        <v>1.2E-2</v>
      </c>
      <c r="M65" s="315">
        <f t="shared" si="60"/>
        <v>0.04</v>
      </c>
      <c r="N65" s="221">
        <v>0.01</v>
      </c>
      <c r="O65" s="125">
        <v>0.01</v>
      </c>
      <c r="P65" s="125">
        <v>0.01</v>
      </c>
      <c r="Q65" s="128">
        <v>0.01</v>
      </c>
    </row>
    <row r="66" spans="1:38" x14ac:dyDescent="0.25">
      <c r="A66" s="378" t="s">
        <v>6</v>
      </c>
      <c r="B66" s="379" t="s">
        <v>102</v>
      </c>
      <c r="C66" s="220">
        <f t="shared" ref="C66:Q66" si="61">SUM(C67:C69)</f>
        <v>6.8179999999999996</v>
      </c>
      <c r="D66" s="318">
        <f t="shared" si="61"/>
        <v>1.7050000000000001</v>
      </c>
      <c r="E66" s="375">
        <f t="shared" si="61"/>
        <v>1.7050000000000001</v>
      </c>
      <c r="F66" s="375">
        <f t="shared" si="61"/>
        <v>1.706</v>
      </c>
      <c r="G66" s="376">
        <f t="shared" si="61"/>
        <v>1.7020000000000002</v>
      </c>
      <c r="H66" s="224">
        <f t="shared" si="61"/>
        <v>6.854000000000001</v>
      </c>
      <c r="I66" s="318">
        <f t="shared" si="61"/>
        <v>1.714</v>
      </c>
      <c r="J66" s="375">
        <f t="shared" si="61"/>
        <v>1.7170000000000001</v>
      </c>
      <c r="K66" s="375">
        <f t="shared" si="61"/>
        <v>1.712</v>
      </c>
      <c r="L66" s="376">
        <f t="shared" si="61"/>
        <v>1.7109999999999999</v>
      </c>
      <c r="M66" s="224">
        <f t="shared" si="61"/>
        <v>6.9640000000000004</v>
      </c>
      <c r="N66" s="318">
        <f t="shared" si="61"/>
        <v>1.75</v>
      </c>
      <c r="O66" s="375">
        <f t="shared" si="61"/>
        <v>1.7440000000000002</v>
      </c>
      <c r="P66" s="375">
        <f t="shared" si="61"/>
        <v>1.7309999999999999</v>
      </c>
      <c r="Q66" s="376">
        <f t="shared" si="61"/>
        <v>1.7389999999999999</v>
      </c>
    </row>
    <row r="67" spans="1:38" x14ac:dyDescent="0.25">
      <c r="A67" s="165" t="s">
        <v>114</v>
      </c>
      <c r="B67" s="35" t="s">
        <v>102</v>
      </c>
      <c r="C67" s="320">
        <f t="shared" ref="C67:C69" si="62">SUM(D67:G67)</f>
        <v>4.63</v>
      </c>
      <c r="D67" s="221">
        <v>1.1599999999999999</v>
      </c>
      <c r="E67" s="125">
        <v>1.155</v>
      </c>
      <c r="F67" s="125">
        <v>1.1599999999999999</v>
      </c>
      <c r="G67" s="128">
        <v>1.155</v>
      </c>
      <c r="H67" s="315">
        <f t="shared" ref="H67:H69" si="63">SUM(I67:L67)</f>
        <v>4.6450000000000005</v>
      </c>
      <c r="I67" s="221">
        <v>1.1599999999999999</v>
      </c>
      <c r="J67" s="125">
        <v>1.165</v>
      </c>
      <c r="K67" s="125">
        <v>1.1599999999999999</v>
      </c>
      <c r="L67" s="128">
        <v>1.1599999999999999</v>
      </c>
      <c r="M67" s="315">
        <f t="shared" ref="M67:M69" si="64">SUM(N67:Q67)</f>
        <v>4.7759999999999998</v>
      </c>
      <c r="N67" s="221">
        <v>1.1990000000000001</v>
      </c>
      <c r="O67" s="125">
        <v>1.1990000000000001</v>
      </c>
      <c r="P67" s="125">
        <v>1.1839999999999999</v>
      </c>
      <c r="Q67" s="128">
        <v>1.194</v>
      </c>
    </row>
    <row r="68" spans="1:38" x14ac:dyDescent="0.25">
      <c r="A68" s="165" t="s">
        <v>89</v>
      </c>
      <c r="B68" s="35" t="s">
        <v>102</v>
      </c>
      <c r="C68" s="320">
        <f t="shared" si="62"/>
        <v>2.105</v>
      </c>
      <c r="D68" s="221">
        <v>0.52500000000000002</v>
      </c>
      <c r="E68" s="125">
        <v>0.53</v>
      </c>
      <c r="F68" s="125">
        <v>0.52500000000000002</v>
      </c>
      <c r="G68" s="128">
        <v>0.52500000000000002</v>
      </c>
      <c r="H68" s="315">
        <f t="shared" si="63"/>
        <v>2.12</v>
      </c>
      <c r="I68" s="221">
        <v>0.53</v>
      </c>
      <c r="J68" s="125">
        <v>0.53</v>
      </c>
      <c r="K68" s="125">
        <v>0.53</v>
      </c>
      <c r="L68" s="128">
        <v>0.53</v>
      </c>
      <c r="M68" s="315">
        <f t="shared" si="64"/>
        <v>2.1080000000000001</v>
      </c>
      <c r="N68" s="221">
        <v>0.53100000000000003</v>
      </c>
      <c r="O68" s="125">
        <v>0.52500000000000002</v>
      </c>
      <c r="P68" s="125">
        <v>0.52700000000000002</v>
      </c>
      <c r="Q68" s="128">
        <v>0.52500000000000002</v>
      </c>
    </row>
    <row r="69" spans="1:38" x14ac:dyDescent="0.25">
      <c r="A69" s="165" t="s">
        <v>90</v>
      </c>
      <c r="B69" s="35" t="s">
        <v>102</v>
      </c>
      <c r="C69" s="320">
        <f t="shared" si="62"/>
        <v>8.299999999999999E-2</v>
      </c>
      <c r="D69" s="221">
        <v>0.02</v>
      </c>
      <c r="E69" s="125">
        <v>0.02</v>
      </c>
      <c r="F69" s="125">
        <v>2.1000000000000001E-2</v>
      </c>
      <c r="G69" s="128">
        <v>2.1999999999999999E-2</v>
      </c>
      <c r="H69" s="315">
        <f t="shared" si="63"/>
        <v>8.900000000000001E-2</v>
      </c>
      <c r="I69" s="221">
        <v>2.4E-2</v>
      </c>
      <c r="J69" s="125">
        <v>2.1999999999999999E-2</v>
      </c>
      <c r="K69" s="125">
        <v>2.1999999999999999E-2</v>
      </c>
      <c r="L69" s="128">
        <v>2.1000000000000001E-2</v>
      </c>
      <c r="M69" s="315">
        <f t="shared" si="64"/>
        <v>0.08</v>
      </c>
      <c r="N69" s="221">
        <v>0.02</v>
      </c>
      <c r="O69" s="125">
        <v>0.02</v>
      </c>
      <c r="P69" s="125">
        <v>0.02</v>
      </c>
      <c r="Q69" s="128">
        <v>0.02</v>
      </c>
    </row>
    <row r="70" spans="1:38" x14ac:dyDescent="0.25">
      <c r="A70" s="378" t="s">
        <v>8</v>
      </c>
      <c r="B70" s="379" t="s">
        <v>102</v>
      </c>
      <c r="C70" s="220">
        <f t="shared" ref="C70:Q70" si="65">SUM(C71:C73)</f>
        <v>3.9419999999999997</v>
      </c>
      <c r="D70" s="318">
        <f t="shared" si="65"/>
        <v>3.9359999999999999</v>
      </c>
      <c r="E70" s="375">
        <f t="shared" si="65"/>
        <v>3.9449999999999998</v>
      </c>
      <c r="F70" s="375">
        <f t="shared" si="65"/>
        <v>3.9479999999999995</v>
      </c>
      <c r="G70" s="376">
        <f t="shared" si="65"/>
        <v>3.9419999999999997</v>
      </c>
      <c r="H70" s="224">
        <f t="shared" si="65"/>
        <v>4.4459999999999997</v>
      </c>
      <c r="I70" s="318">
        <f t="shared" si="65"/>
        <v>4.3559999999999999</v>
      </c>
      <c r="J70" s="375">
        <f t="shared" si="65"/>
        <v>4.42</v>
      </c>
      <c r="K70" s="375">
        <f t="shared" si="65"/>
        <v>4.423</v>
      </c>
      <c r="L70" s="376">
        <f t="shared" si="65"/>
        <v>4.4459999999999997</v>
      </c>
      <c r="M70" s="224">
        <f t="shared" si="65"/>
        <v>4.5990000000000002</v>
      </c>
      <c r="N70" s="318">
        <f t="shared" si="65"/>
        <v>4.6970000000000001</v>
      </c>
      <c r="O70" s="375">
        <f t="shared" si="65"/>
        <v>4.5949999999999998</v>
      </c>
      <c r="P70" s="375">
        <f t="shared" si="65"/>
        <v>4.5510000000000002</v>
      </c>
      <c r="Q70" s="376">
        <f t="shared" si="65"/>
        <v>4.5990000000000002</v>
      </c>
      <c r="R70" s="4"/>
      <c r="S70" s="4"/>
      <c r="T70" s="4"/>
      <c r="U70" s="4"/>
      <c r="V70" s="4"/>
      <c r="W70" s="4"/>
      <c r="Y70" s="4"/>
      <c r="Z70" s="4"/>
      <c r="AA70" s="4"/>
      <c r="AB70" s="4"/>
      <c r="AD70" s="4"/>
      <c r="AE70" s="4"/>
      <c r="AF70" s="4"/>
      <c r="AG70" s="4"/>
      <c r="AI70" s="4"/>
      <c r="AJ70" s="4"/>
      <c r="AK70" s="4"/>
      <c r="AL70" s="4"/>
    </row>
    <row r="71" spans="1:38" x14ac:dyDescent="0.25">
      <c r="A71" s="165" t="s">
        <v>114</v>
      </c>
      <c r="B71" s="35" t="s">
        <v>102</v>
      </c>
      <c r="C71" s="320">
        <f t="shared" ref="C71:C73" si="66">G71</f>
        <v>3.2509999999999999</v>
      </c>
      <c r="D71" s="221">
        <v>3.2509999999999999</v>
      </c>
      <c r="E71" s="125">
        <v>3.2559999999999998</v>
      </c>
      <c r="F71" s="125">
        <v>3.2559999999999998</v>
      </c>
      <c r="G71" s="128">
        <v>3.2509999999999999</v>
      </c>
      <c r="H71" s="315">
        <f t="shared" ref="H71:H73" si="67">L71</f>
        <v>3.6</v>
      </c>
      <c r="I71" s="221">
        <v>3.6</v>
      </c>
      <c r="J71" s="125">
        <v>3.6</v>
      </c>
      <c r="K71" s="125">
        <v>3.6</v>
      </c>
      <c r="L71" s="128">
        <v>3.6</v>
      </c>
      <c r="M71" s="315">
        <f t="shared" ref="M71:M73" si="68">Q71</f>
        <v>3.819</v>
      </c>
      <c r="N71" s="221">
        <v>3.911</v>
      </c>
      <c r="O71" s="125">
        <v>3.8769999999999998</v>
      </c>
      <c r="P71" s="125">
        <v>3.8530000000000002</v>
      </c>
      <c r="Q71" s="128">
        <v>3.819</v>
      </c>
      <c r="R71" s="4"/>
      <c r="S71" s="4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x14ac:dyDescent="0.25">
      <c r="A72" s="165" t="s">
        <v>89</v>
      </c>
      <c r="B72" s="35" t="s">
        <v>102</v>
      </c>
      <c r="C72" s="320">
        <f t="shared" si="66"/>
        <v>0.53600000000000003</v>
      </c>
      <c r="D72" s="221">
        <v>0.53500000000000003</v>
      </c>
      <c r="E72" s="125">
        <v>0.53500000000000003</v>
      </c>
      <c r="F72" s="125">
        <v>0.53700000000000003</v>
      </c>
      <c r="G72" s="128">
        <v>0.53600000000000003</v>
      </c>
      <c r="H72" s="315">
        <f t="shared" si="67"/>
        <v>0.5</v>
      </c>
      <c r="I72" s="221">
        <v>0.5</v>
      </c>
      <c r="J72" s="125">
        <v>0.5</v>
      </c>
      <c r="K72" s="125">
        <v>0.5</v>
      </c>
      <c r="L72" s="128">
        <v>0.5</v>
      </c>
      <c r="M72" s="315">
        <f t="shared" si="68"/>
        <v>0.47599999999999998</v>
      </c>
      <c r="N72" s="221">
        <v>0.46300000000000002</v>
      </c>
      <c r="O72" s="125">
        <v>0.46800000000000003</v>
      </c>
      <c r="P72" s="125">
        <v>0.47099999999999997</v>
      </c>
      <c r="Q72" s="128">
        <v>0.47599999999999998</v>
      </c>
      <c r="R72" s="4"/>
      <c r="S72" s="4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ht="15.75" thickBot="1" x14ac:dyDescent="0.3">
      <c r="A73" s="166" t="s">
        <v>90</v>
      </c>
      <c r="B73" s="65" t="s">
        <v>102</v>
      </c>
      <c r="C73" s="321">
        <f t="shared" si="66"/>
        <v>0.155</v>
      </c>
      <c r="D73" s="223">
        <v>0.15</v>
      </c>
      <c r="E73" s="129">
        <v>0.154</v>
      </c>
      <c r="F73" s="129">
        <v>0.155</v>
      </c>
      <c r="G73" s="130">
        <v>0.155</v>
      </c>
      <c r="H73" s="316">
        <f t="shared" si="67"/>
        <v>0.34599999999999997</v>
      </c>
      <c r="I73" s="223">
        <v>0.25600000000000001</v>
      </c>
      <c r="J73" s="129">
        <v>0.32</v>
      </c>
      <c r="K73" s="129">
        <v>0.32300000000000001</v>
      </c>
      <c r="L73" s="130">
        <v>0.34599999999999997</v>
      </c>
      <c r="M73" s="316">
        <f t="shared" si="68"/>
        <v>0.30399999999999999</v>
      </c>
      <c r="N73" s="223">
        <v>0.32300000000000001</v>
      </c>
      <c r="O73" s="129">
        <v>0.25</v>
      </c>
      <c r="P73" s="129">
        <v>0.22700000000000001</v>
      </c>
      <c r="Q73" s="130">
        <v>0.30399999999999999</v>
      </c>
      <c r="R73" s="4"/>
      <c r="S73" s="4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ht="15.75" thickBot="1" x14ac:dyDescent="0.3">
      <c r="H74" s="131"/>
      <c r="Y74" s="2"/>
      <c r="Z74" s="2"/>
    </row>
    <row r="75" spans="1:38" s="82" customFormat="1" ht="58.5" customHeight="1" thickBot="1" x14ac:dyDescent="0.3">
      <c r="A75" s="45" t="s">
        <v>122</v>
      </c>
      <c r="B75" s="381" t="s">
        <v>42</v>
      </c>
      <c r="C75" s="324">
        <f>SUM(C76:C78)</f>
        <v>-8.6319840164605921E-15</v>
      </c>
      <c r="D75" s="369">
        <f t="shared" ref="D75" si="69">SUM(D76:D78)</f>
        <v>0</v>
      </c>
      <c r="E75" s="370">
        <f t="shared" ref="E75:Q75" si="70">SUM(E76:E78)</f>
        <v>3.9968028886505635E-15</v>
      </c>
      <c r="F75" s="370">
        <f t="shared" si="70"/>
        <v>0</v>
      </c>
      <c r="G75" s="371">
        <f t="shared" si="70"/>
        <v>0</v>
      </c>
      <c r="H75" s="324">
        <f t="shared" si="70"/>
        <v>2.6201263381153694E-14</v>
      </c>
      <c r="I75" s="369">
        <f t="shared" si="70"/>
        <v>0</v>
      </c>
      <c r="J75" s="370">
        <f t="shared" si="70"/>
        <v>8.8817841970012523E-16</v>
      </c>
      <c r="K75" s="370">
        <f t="shared" si="70"/>
        <v>0</v>
      </c>
      <c r="L75" s="371">
        <f t="shared" si="70"/>
        <v>0</v>
      </c>
      <c r="M75" s="372">
        <f t="shared" si="70"/>
        <v>-1.4988010832439613E-15</v>
      </c>
      <c r="N75" s="369">
        <f t="shared" si="70"/>
        <v>0</v>
      </c>
      <c r="O75" s="370">
        <f t="shared" si="70"/>
        <v>8.3266726846886741E-16</v>
      </c>
      <c r="P75" s="370">
        <f t="shared" si="70"/>
        <v>0</v>
      </c>
      <c r="Q75" s="371">
        <f t="shared" si="70"/>
        <v>8.8817841970012523E-16</v>
      </c>
      <c r="Y75" s="296"/>
      <c r="Z75" s="296"/>
    </row>
    <row r="76" spans="1:38" ht="15.75" thickBot="1" x14ac:dyDescent="0.3">
      <c r="A76" s="325" t="s">
        <v>114</v>
      </c>
      <c r="B76" s="326" t="s">
        <v>102</v>
      </c>
      <c r="C76" s="327">
        <f t="shared" ref="C76" si="71">C43-(+C63+C67+C47+C59)-C71</f>
        <v>-9.3258734068513149E-15</v>
      </c>
      <c r="D76" s="327">
        <f>D43-(+D63+D67+D47+D59)-D71</f>
        <v>0</v>
      </c>
      <c r="E76" s="327">
        <f t="shared" ref="E76:Q76" si="72">E43-(+E63+E67+E47+E59)-E71</f>
        <v>3.9968028886505635E-15</v>
      </c>
      <c r="F76" s="327">
        <f t="shared" si="72"/>
        <v>0</v>
      </c>
      <c r="G76" s="327">
        <f t="shared" si="72"/>
        <v>0</v>
      </c>
      <c r="H76" s="327">
        <f t="shared" si="72"/>
        <v>2.2648549702353193E-14</v>
      </c>
      <c r="I76" s="327">
        <f t="shared" si="72"/>
        <v>0</v>
      </c>
      <c r="J76" s="327">
        <f t="shared" si="72"/>
        <v>0</v>
      </c>
      <c r="K76" s="327">
        <f t="shared" si="72"/>
        <v>0</v>
      </c>
      <c r="L76" s="327">
        <f t="shared" si="72"/>
        <v>0</v>
      </c>
      <c r="M76" s="327">
        <f t="shared" si="72"/>
        <v>0</v>
      </c>
      <c r="N76" s="327">
        <f t="shared" si="72"/>
        <v>0</v>
      </c>
      <c r="O76" s="327">
        <f t="shared" si="72"/>
        <v>0</v>
      </c>
      <c r="P76" s="327">
        <f t="shared" si="72"/>
        <v>0</v>
      </c>
      <c r="Q76" s="554">
        <f t="shared" si="72"/>
        <v>0</v>
      </c>
      <c r="Y76" s="2"/>
      <c r="Z76" s="2"/>
    </row>
    <row r="77" spans="1:38" ht="15.75" thickBot="1" x14ac:dyDescent="0.3">
      <c r="A77" s="30" t="s">
        <v>89</v>
      </c>
      <c r="B77" s="35" t="s">
        <v>102</v>
      </c>
      <c r="C77" s="327">
        <f t="shared" ref="C77:Q77" si="73">C44-(+C64+C68+C48+C60)-C72</f>
        <v>1.3322676295501878E-15</v>
      </c>
      <c r="D77" s="327">
        <f t="shared" si="73"/>
        <v>0</v>
      </c>
      <c r="E77" s="327">
        <f t="shared" si="73"/>
        <v>0</v>
      </c>
      <c r="F77" s="327">
        <f t="shared" si="73"/>
        <v>0</v>
      </c>
      <c r="G77" s="327">
        <f t="shared" si="73"/>
        <v>0</v>
      </c>
      <c r="H77" s="327">
        <f t="shared" si="73"/>
        <v>3.5527136788005009E-15</v>
      </c>
      <c r="I77" s="327">
        <f t="shared" si="73"/>
        <v>0</v>
      </c>
      <c r="J77" s="327">
        <f t="shared" si="73"/>
        <v>8.8817841970012523E-16</v>
      </c>
      <c r="K77" s="327">
        <f t="shared" si="73"/>
        <v>0</v>
      </c>
      <c r="L77" s="327">
        <f t="shared" si="73"/>
        <v>0</v>
      </c>
      <c r="M77" s="327">
        <f t="shared" si="73"/>
        <v>-8.8817841970012523E-16</v>
      </c>
      <c r="N77" s="327">
        <f t="shared" si="73"/>
        <v>0</v>
      </c>
      <c r="O77" s="327">
        <f t="shared" si="73"/>
        <v>8.3266726846886741E-16</v>
      </c>
      <c r="P77" s="327">
        <f t="shared" si="73"/>
        <v>0</v>
      </c>
      <c r="Q77" s="554">
        <f t="shared" si="73"/>
        <v>8.8817841970012523E-16</v>
      </c>
      <c r="Y77" s="2"/>
      <c r="Z77" s="2"/>
    </row>
    <row r="78" spans="1:38" ht="15.75" thickBot="1" x14ac:dyDescent="0.3">
      <c r="A78" s="31" t="s">
        <v>90</v>
      </c>
      <c r="B78" s="65" t="s">
        <v>102</v>
      </c>
      <c r="C78" s="369">
        <f t="shared" ref="C78:Q78" si="74">C45-(+C65+C69+C49+C61)-C73</f>
        <v>-6.3837823915946501E-16</v>
      </c>
      <c r="D78" s="369">
        <f t="shared" si="74"/>
        <v>0</v>
      </c>
      <c r="E78" s="369">
        <f t="shared" si="74"/>
        <v>0</v>
      </c>
      <c r="F78" s="369">
        <f t="shared" si="74"/>
        <v>0</v>
      </c>
      <c r="G78" s="369">
        <f t="shared" si="74"/>
        <v>0</v>
      </c>
      <c r="H78" s="369">
        <f t="shared" si="74"/>
        <v>0</v>
      </c>
      <c r="I78" s="369">
        <f t="shared" si="74"/>
        <v>0</v>
      </c>
      <c r="J78" s="369">
        <f t="shared" si="74"/>
        <v>0</v>
      </c>
      <c r="K78" s="369">
        <f t="shared" si="74"/>
        <v>0</v>
      </c>
      <c r="L78" s="369">
        <f t="shared" si="74"/>
        <v>0</v>
      </c>
      <c r="M78" s="369">
        <f t="shared" si="74"/>
        <v>-6.106226635438361E-16</v>
      </c>
      <c r="N78" s="369">
        <f t="shared" si="74"/>
        <v>0</v>
      </c>
      <c r="O78" s="369">
        <f t="shared" si="74"/>
        <v>0</v>
      </c>
      <c r="P78" s="369">
        <f t="shared" si="74"/>
        <v>0</v>
      </c>
      <c r="Q78" s="555">
        <f t="shared" si="74"/>
        <v>0</v>
      </c>
      <c r="Y78" s="2"/>
      <c r="Z78" s="2"/>
    </row>
    <row r="79" spans="1:38" ht="15.75" thickBot="1" x14ac:dyDescent="0.3">
      <c r="H79" s="131"/>
      <c r="Y79" s="2"/>
      <c r="Z79" s="2"/>
    </row>
    <row r="80" spans="1:38" s="294" customFormat="1" ht="58.5" customHeight="1" thickBot="1" x14ac:dyDescent="0.3">
      <c r="A80" s="45" t="s">
        <v>117</v>
      </c>
      <c r="B80" s="24"/>
      <c r="C80" s="328" t="str">
        <f t="shared" ref="C80:H80" si="75">IF(SUM(C31:C33,C35:C37,C39:C41,C51:C53,C59:C61,C63:C65,C67:C69,C71:C73)&gt;0,"Проверка пройдена","Заполните данные в балансе")</f>
        <v>Проверка пройдена</v>
      </c>
      <c r="D80" s="329" t="str">
        <f t="shared" si="75"/>
        <v>Проверка пройдена</v>
      </c>
      <c r="E80" s="322" t="str">
        <f t="shared" si="75"/>
        <v>Проверка пройдена</v>
      </c>
      <c r="F80" s="322" t="str">
        <f t="shared" si="75"/>
        <v>Проверка пройдена</v>
      </c>
      <c r="G80" s="323" t="str">
        <f t="shared" si="75"/>
        <v>Проверка пройдена</v>
      </c>
      <c r="H80" s="330" t="str">
        <f t="shared" si="75"/>
        <v>Проверка пройдена</v>
      </c>
      <c r="I80" s="329" t="str">
        <f t="shared" ref="I80:Q80" si="76">IF(SUM(I31:I33,I35:I37,I39:I41,I51:I53,I59:I61,I63:I65,I67:I69,I71:I73)&gt;0,"Проверка пройдена","Заполните данные в балансе")</f>
        <v>Проверка пройдена</v>
      </c>
      <c r="J80" s="332" t="str">
        <f t="shared" si="76"/>
        <v>Проверка пройдена</v>
      </c>
      <c r="K80" s="322" t="str">
        <f t="shared" si="76"/>
        <v>Проверка пройдена</v>
      </c>
      <c r="L80" s="323" t="str">
        <f t="shared" si="76"/>
        <v>Проверка пройдена</v>
      </c>
      <c r="M80" s="330" t="str">
        <f t="shared" si="76"/>
        <v>Проверка пройдена</v>
      </c>
      <c r="N80" s="329" t="str">
        <f t="shared" si="76"/>
        <v>Проверка пройдена</v>
      </c>
      <c r="O80" s="322" t="str">
        <f t="shared" si="76"/>
        <v>Проверка пройдена</v>
      </c>
      <c r="P80" s="322" t="str">
        <f t="shared" si="76"/>
        <v>Проверка пройдена</v>
      </c>
      <c r="Q80" s="323" t="str">
        <f t="shared" si="76"/>
        <v>Проверка пройдена</v>
      </c>
      <c r="Y80" s="295"/>
      <c r="Z80" s="295"/>
    </row>
    <row r="81" spans="1:64" x14ac:dyDescent="0.25">
      <c r="D81" s="131"/>
      <c r="H81" s="131"/>
      <c r="Y81" s="2"/>
      <c r="Z81" s="2"/>
    </row>
    <row r="83" spans="1:64" x14ac:dyDescent="0.25">
      <c r="A83" s="242" t="s">
        <v>109</v>
      </c>
      <c r="B83" s="32"/>
      <c r="C83" s="12"/>
      <c r="D83" s="12"/>
      <c r="E83" s="12"/>
      <c r="F83" s="12"/>
      <c r="G83" s="12"/>
      <c r="H83" s="13"/>
      <c r="I83" s="12"/>
      <c r="J83" s="12"/>
      <c r="K83" s="12"/>
      <c r="L83" s="12"/>
      <c r="M83" s="12"/>
      <c r="N83" s="12"/>
      <c r="O83" s="12"/>
      <c r="P83" s="12"/>
      <c r="Q83" s="12"/>
      <c r="R83" s="4"/>
      <c r="S83" s="4"/>
      <c r="T83" s="4"/>
      <c r="U83" s="4"/>
      <c r="V83" s="4"/>
      <c r="W83" s="4"/>
      <c r="X83" s="4"/>
      <c r="Y83" s="4"/>
      <c r="Z83" s="4"/>
      <c r="AA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U83" s="4"/>
      <c r="AV83" s="4"/>
      <c r="AW83" s="4"/>
    </row>
    <row r="84" spans="1:64" s="4" customFormat="1" ht="15.75" thickBot="1" x14ac:dyDescent="0.3">
      <c r="A84" s="241" t="s">
        <v>118</v>
      </c>
      <c r="B84" s="16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</row>
    <row r="85" spans="1:64" s="33" customFormat="1" ht="14.65" customHeight="1" x14ac:dyDescent="0.25">
      <c r="A85" s="589" t="s">
        <v>16</v>
      </c>
      <c r="B85" s="591" t="s">
        <v>42</v>
      </c>
      <c r="C85" s="593" t="str">
        <f>(YEAR(Test_date)-7)&amp;" год"</f>
        <v>2012 год</v>
      </c>
      <c r="D85" s="595" t="str">
        <f>C85</f>
        <v>2012 год</v>
      </c>
      <c r="E85" s="596"/>
      <c r="F85" s="596"/>
      <c r="G85" s="606"/>
      <c r="H85" s="593" t="str">
        <f>(LEFT(C85,4)+1)&amp;" год"</f>
        <v>2013 год</v>
      </c>
      <c r="I85" s="595" t="str">
        <f>H85</f>
        <v>2013 год</v>
      </c>
      <c r="J85" s="596"/>
      <c r="K85" s="596"/>
      <c r="L85" s="606"/>
      <c r="M85" s="593" t="str">
        <f>(LEFT(H85,4)+1)&amp;" год"</f>
        <v>2014 год</v>
      </c>
      <c r="N85" s="595" t="str">
        <f>M85</f>
        <v>2014 год</v>
      </c>
      <c r="O85" s="596"/>
      <c r="P85" s="596"/>
      <c r="Q85" s="606"/>
      <c r="R85" s="593" t="str">
        <f>(LEFT(M85,4)+1)&amp;" год"</f>
        <v>2015 год</v>
      </c>
      <c r="S85" s="595" t="str">
        <f>R85</f>
        <v>2015 год</v>
      </c>
      <c r="T85" s="596"/>
      <c r="U85" s="596"/>
      <c r="V85" s="606"/>
      <c r="W85" s="593" t="str">
        <f>(LEFT(R85,4)+1)&amp;" год"</f>
        <v>2016 год</v>
      </c>
      <c r="X85" s="595" t="str">
        <f>W85</f>
        <v>2016 год</v>
      </c>
      <c r="Y85" s="596"/>
      <c r="Z85" s="596"/>
      <c r="AA85" s="606"/>
      <c r="AB85" s="593" t="str">
        <f>(LEFT(W85,4)+1)&amp;" год"</f>
        <v>2017 год</v>
      </c>
      <c r="AC85" s="595" t="str">
        <f>AB85</f>
        <v>2017 год</v>
      </c>
      <c r="AD85" s="596"/>
      <c r="AE85" s="596"/>
      <c r="AF85" s="606"/>
      <c r="AG85" s="593" t="str">
        <f>(LEFT(AB85,4)+1)&amp;" год"</f>
        <v>2018 год</v>
      </c>
      <c r="AH85" s="607" t="str">
        <f>AG85</f>
        <v>2018 год</v>
      </c>
      <c r="AI85" s="596"/>
      <c r="AJ85" s="596"/>
      <c r="AK85" s="597"/>
      <c r="AL85" s="32"/>
      <c r="AM85" s="32"/>
      <c r="AT85" s="115"/>
      <c r="AU85" s="115"/>
      <c r="AV85" s="115"/>
      <c r="AW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</row>
    <row r="86" spans="1:64" s="33" customFormat="1" ht="15.75" thickBot="1" x14ac:dyDescent="0.3">
      <c r="A86" s="590"/>
      <c r="B86" s="592"/>
      <c r="C86" s="594"/>
      <c r="D86" s="531" t="s">
        <v>0</v>
      </c>
      <c r="E86" s="532" t="s">
        <v>1</v>
      </c>
      <c r="F86" s="532" t="s">
        <v>2</v>
      </c>
      <c r="G86" s="533" t="s">
        <v>3</v>
      </c>
      <c r="H86" s="594"/>
      <c r="I86" s="531" t="s">
        <v>0</v>
      </c>
      <c r="J86" s="532" t="s">
        <v>1</v>
      </c>
      <c r="K86" s="532" t="s">
        <v>2</v>
      </c>
      <c r="L86" s="533" t="s">
        <v>3</v>
      </c>
      <c r="M86" s="594"/>
      <c r="N86" s="531" t="s">
        <v>0</v>
      </c>
      <c r="O86" s="532" t="s">
        <v>1</v>
      </c>
      <c r="P86" s="532" t="s">
        <v>2</v>
      </c>
      <c r="Q86" s="533" t="s">
        <v>3</v>
      </c>
      <c r="R86" s="594"/>
      <c r="S86" s="531" t="s">
        <v>0</v>
      </c>
      <c r="T86" s="532" t="s">
        <v>1</v>
      </c>
      <c r="U86" s="532" t="s">
        <v>2</v>
      </c>
      <c r="V86" s="533" t="s">
        <v>3</v>
      </c>
      <c r="W86" s="594"/>
      <c r="X86" s="531" t="s">
        <v>0</v>
      </c>
      <c r="Y86" s="532" t="s">
        <v>1</v>
      </c>
      <c r="Z86" s="532" t="s">
        <v>2</v>
      </c>
      <c r="AA86" s="534" t="s">
        <v>3</v>
      </c>
      <c r="AB86" s="594"/>
      <c r="AC86" s="531" t="s">
        <v>0</v>
      </c>
      <c r="AD86" s="532" t="s">
        <v>1</v>
      </c>
      <c r="AE86" s="532" t="s">
        <v>2</v>
      </c>
      <c r="AF86" s="533" t="s">
        <v>3</v>
      </c>
      <c r="AG86" s="594"/>
      <c r="AH86" s="535" t="s">
        <v>0</v>
      </c>
      <c r="AI86" s="532" t="s">
        <v>1</v>
      </c>
      <c r="AJ86" s="532" t="s">
        <v>2</v>
      </c>
      <c r="AK86" s="534" t="s">
        <v>3</v>
      </c>
      <c r="AL86" s="32"/>
      <c r="AM86" s="32"/>
      <c r="AT86" s="115"/>
      <c r="AU86" s="115"/>
      <c r="AV86" s="115"/>
      <c r="AW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</row>
    <row r="87" spans="1:64" x14ac:dyDescent="0.25">
      <c r="A87" s="378" t="s">
        <v>8</v>
      </c>
      <c r="B87" s="170" t="s">
        <v>102</v>
      </c>
      <c r="C87" s="122">
        <f>SUM(C88:C90)</f>
        <v>3.5</v>
      </c>
      <c r="D87" s="380">
        <f>D88+D89+D90</f>
        <v>3.4</v>
      </c>
      <c r="E87" s="380">
        <f t="shared" ref="E87:AK87" si="77">E88+E89+E90</f>
        <v>3.35</v>
      </c>
      <c r="F87" s="380">
        <f t="shared" si="77"/>
        <v>3.3</v>
      </c>
      <c r="G87" s="419">
        <f t="shared" si="77"/>
        <v>3.5</v>
      </c>
      <c r="H87" s="132">
        <f t="shared" si="77"/>
        <v>4</v>
      </c>
      <c r="I87" s="380">
        <f t="shared" si="77"/>
        <v>3.6</v>
      </c>
      <c r="J87" s="380">
        <f t="shared" si="77"/>
        <v>3.5</v>
      </c>
      <c r="K87" s="380">
        <f t="shared" si="77"/>
        <v>3.55</v>
      </c>
      <c r="L87" s="419">
        <f t="shared" si="77"/>
        <v>4</v>
      </c>
      <c r="M87" s="132">
        <f t="shared" si="77"/>
        <v>3.8</v>
      </c>
      <c r="N87" s="380">
        <f t="shared" si="77"/>
        <v>4</v>
      </c>
      <c r="O87" s="380">
        <f t="shared" si="77"/>
        <v>4</v>
      </c>
      <c r="P87" s="380">
        <f t="shared" si="77"/>
        <v>4</v>
      </c>
      <c r="Q87" s="419">
        <f t="shared" si="77"/>
        <v>3.8</v>
      </c>
      <c r="R87" s="81">
        <f t="shared" si="77"/>
        <v>3.75</v>
      </c>
      <c r="S87" s="420">
        <f t="shared" si="77"/>
        <v>3.8</v>
      </c>
      <c r="T87" s="420">
        <f t="shared" si="77"/>
        <v>3.8</v>
      </c>
      <c r="U87" s="420">
        <f t="shared" si="77"/>
        <v>3.75</v>
      </c>
      <c r="V87" s="421">
        <f t="shared" si="77"/>
        <v>3.75</v>
      </c>
      <c r="W87" s="81">
        <f t="shared" si="77"/>
        <v>3.9419999999999997</v>
      </c>
      <c r="X87" s="420">
        <f t="shared" si="77"/>
        <v>3.9359999999999999</v>
      </c>
      <c r="Y87" s="420">
        <f t="shared" si="77"/>
        <v>3.9449999999999998</v>
      </c>
      <c r="Z87" s="420">
        <f t="shared" si="77"/>
        <v>3.9479999999999995</v>
      </c>
      <c r="AA87" s="422">
        <f t="shared" si="77"/>
        <v>3.9419999999999997</v>
      </c>
      <c r="AB87" s="81">
        <f t="shared" si="77"/>
        <v>4.4459999999999997</v>
      </c>
      <c r="AC87" s="420">
        <f t="shared" si="77"/>
        <v>4.3559999999999999</v>
      </c>
      <c r="AD87" s="420">
        <f t="shared" si="77"/>
        <v>4.42</v>
      </c>
      <c r="AE87" s="420">
        <f t="shared" si="77"/>
        <v>4.423</v>
      </c>
      <c r="AF87" s="421">
        <f t="shared" si="77"/>
        <v>4.4459999999999997</v>
      </c>
      <c r="AG87" s="81">
        <f t="shared" si="77"/>
        <v>4.5990000000000002</v>
      </c>
      <c r="AH87" s="423">
        <f t="shared" si="77"/>
        <v>4.6970000000000001</v>
      </c>
      <c r="AI87" s="420">
        <f t="shared" si="77"/>
        <v>4.5949999999999998</v>
      </c>
      <c r="AJ87" s="420">
        <f t="shared" si="77"/>
        <v>4.5510000000000002</v>
      </c>
      <c r="AK87" s="422">
        <f t="shared" si="77"/>
        <v>4.5990000000000002</v>
      </c>
      <c r="AL87" s="4"/>
      <c r="AM87" s="4"/>
      <c r="AT87" s="6"/>
      <c r="AU87" s="6"/>
      <c r="AV87" s="6"/>
      <c r="AW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1:64" x14ac:dyDescent="0.25">
      <c r="A88" s="165" t="s">
        <v>114</v>
      </c>
      <c r="B88" s="35" t="s">
        <v>102</v>
      </c>
      <c r="C88" s="133">
        <f t="shared" ref="C88:C90" si="78">G88</f>
        <v>3</v>
      </c>
      <c r="D88" s="125">
        <v>2.9</v>
      </c>
      <c r="E88" s="134">
        <v>2.85</v>
      </c>
      <c r="F88" s="134">
        <v>2.8</v>
      </c>
      <c r="G88" s="135">
        <v>3</v>
      </c>
      <c r="H88" s="133">
        <f t="shared" ref="H88:H90" si="79">L88</f>
        <v>3.5</v>
      </c>
      <c r="I88" s="125">
        <v>3.1</v>
      </c>
      <c r="J88" s="134">
        <v>3</v>
      </c>
      <c r="K88" s="134">
        <v>3.05</v>
      </c>
      <c r="L88" s="135">
        <v>3.5</v>
      </c>
      <c r="M88" s="133">
        <f t="shared" ref="M88:M90" si="80">Q88</f>
        <v>3.3</v>
      </c>
      <c r="N88" s="125">
        <v>3.5</v>
      </c>
      <c r="O88" s="134">
        <v>3.5</v>
      </c>
      <c r="P88" s="134">
        <v>3.5</v>
      </c>
      <c r="Q88" s="135">
        <v>3.3</v>
      </c>
      <c r="R88" s="53">
        <f t="shared" ref="R88:R90" si="81">V88</f>
        <v>3.25</v>
      </c>
      <c r="S88" s="125">
        <v>3.3</v>
      </c>
      <c r="T88" s="134">
        <v>3.3</v>
      </c>
      <c r="U88" s="134">
        <v>3.25</v>
      </c>
      <c r="V88" s="135">
        <v>3.25</v>
      </c>
      <c r="W88" s="53">
        <f t="shared" ref="W88:W90" si="82">AA88</f>
        <v>3.2509999999999999</v>
      </c>
      <c r="X88" s="50">
        <f t="shared" ref="X88:AA90" si="83">D71</f>
        <v>3.2509999999999999</v>
      </c>
      <c r="Y88" s="49">
        <f t="shared" si="83"/>
        <v>3.2559999999999998</v>
      </c>
      <c r="Z88" s="49">
        <f t="shared" si="83"/>
        <v>3.2559999999999998</v>
      </c>
      <c r="AA88" s="52">
        <f t="shared" si="83"/>
        <v>3.2509999999999999</v>
      </c>
      <c r="AB88" s="53">
        <f t="shared" ref="AB88:AB90" si="84">AF88</f>
        <v>3.6</v>
      </c>
      <c r="AC88" s="50">
        <f t="shared" ref="AC88:AF90" si="85">I71</f>
        <v>3.6</v>
      </c>
      <c r="AD88" s="49">
        <f t="shared" si="85"/>
        <v>3.6</v>
      </c>
      <c r="AE88" s="49">
        <f t="shared" si="85"/>
        <v>3.6</v>
      </c>
      <c r="AF88" s="51">
        <f t="shared" si="85"/>
        <v>3.6</v>
      </c>
      <c r="AG88" s="53">
        <f t="shared" ref="AG88:AG90" si="86">AK88</f>
        <v>3.819</v>
      </c>
      <c r="AH88" s="79">
        <f t="shared" ref="AH88:AK90" si="87">N71</f>
        <v>3.911</v>
      </c>
      <c r="AI88" s="49">
        <f t="shared" si="87"/>
        <v>3.8769999999999998</v>
      </c>
      <c r="AJ88" s="49">
        <f t="shared" si="87"/>
        <v>3.8530000000000002</v>
      </c>
      <c r="AK88" s="52">
        <f t="shared" si="87"/>
        <v>3.819</v>
      </c>
      <c r="AT88" s="6"/>
      <c r="AU88" s="6"/>
      <c r="AV88" s="6"/>
      <c r="AW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1:64" x14ac:dyDescent="0.25">
      <c r="A89" s="165" t="s">
        <v>89</v>
      </c>
      <c r="B89" s="35" t="s">
        <v>102</v>
      </c>
      <c r="C89" s="133">
        <f t="shared" si="78"/>
        <v>0.5</v>
      </c>
      <c r="D89" s="125">
        <v>0.5</v>
      </c>
      <c r="E89" s="134">
        <v>0.5</v>
      </c>
      <c r="F89" s="134">
        <v>0.5</v>
      </c>
      <c r="G89" s="135">
        <v>0.5</v>
      </c>
      <c r="H89" s="133">
        <f t="shared" si="79"/>
        <v>0.5</v>
      </c>
      <c r="I89" s="125">
        <v>0.5</v>
      </c>
      <c r="J89" s="134">
        <v>0.5</v>
      </c>
      <c r="K89" s="134">
        <v>0.5</v>
      </c>
      <c r="L89" s="135">
        <v>0.5</v>
      </c>
      <c r="M89" s="133">
        <f t="shared" si="80"/>
        <v>0.5</v>
      </c>
      <c r="N89" s="125">
        <v>0.5</v>
      </c>
      <c r="O89" s="134">
        <v>0.5</v>
      </c>
      <c r="P89" s="134">
        <v>0.5</v>
      </c>
      <c r="Q89" s="135">
        <v>0.5</v>
      </c>
      <c r="R89" s="53">
        <f t="shared" si="81"/>
        <v>0.5</v>
      </c>
      <c r="S89" s="125">
        <v>0.5</v>
      </c>
      <c r="T89" s="134">
        <v>0.5</v>
      </c>
      <c r="U89" s="134">
        <v>0.5</v>
      </c>
      <c r="V89" s="135">
        <v>0.5</v>
      </c>
      <c r="W89" s="53">
        <f t="shared" si="82"/>
        <v>0.53600000000000003</v>
      </c>
      <c r="X89" s="50">
        <f t="shared" si="83"/>
        <v>0.53500000000000003</v>
      </c>
      <c r="Y89" s="49">
        <f t="shared" si="83"/>
        <v>0.53500000000000003</v>
      </c>
      <c r="Z89" s="49">
        <f t="shared" si="83"/>
        <v>0.53700000000000003</v>
      </c>
      <c r="AA89" s="52">
        <f t="shared" si="83"/>
        <v>0.53600000000000003</v>
      </c>
      <c r="AB89" s="53">
        <f t="shared" si="84"/>
        <v>0.5</v>
      </c>
      <c r="AC89" s="50">
        <f t="shared" si="85"/>
        <v>0.5</v>
      </c>
      <c r="AD89" s="49">
        <f t="shared" si="85"/>
        <v>0.5</v>
      </c>
      <c r="AE89" s="49">
        <f t="shared" si="85"/>
        <v>0.5</v>
      </c>
      <c r="AF89" s="51">
        <f t="shared" si="85"/>
        <v>0.5</v>
      </c>
      <c r="AG89" s="53">
        <f t="shared" si="86"/>
        <v>0.47599999999999998</v>
      </c>
      <c r="AH89" s="79">
        <f t="shared" si="87"/>
        <v>0.46300000000000002</v>
      </c>
      <c r="AI89" s="49">
        <f t="shared" si="87"/>
        <v>0.46800000000000003</v>
      </c>
      <c r="AJ89" s="49">
        <f t="shared" si="87"/>
        <v>0.47099999999999997</v>
      </c>
      <c r="AK89" s="52">
        <f t="shared" si="87"/>
        <v>0.47599999999999998</v>
      </c>
      <c r="AT89" s="6"/>
      <c r="AU89" s="6"/>
      <c r="AV89" s="6"/>
      <c r="AW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1:64" ht="15.75" thickBot="1" x14ac:dyDescent="0.3">
      <c r="A90" s="166" t="s">
        <v>90</v>
      </c>
      <c r="B90" s="65" t="s">
        <v>102</v>
      </c>
      <c r="C90" s="136">
        <f t="shared" si="78"/>
        <v>0</v>
      </c>
      <c r="D90" s="129">
        <v>0</v>
      </c>
      <c r="E90" s="137">
        <v>0</v>
      </c>
      <c r="F90" s="137">
        <v>0</v>
      </c>
      <c r="G90" s="138">
        <v>0</v>
      </c>
      <c r="H90" s="136">
        <f t="shared" si="79"/>
        <v>0</v>
      </c>
      <c r="I90" s="129">
        <v>0</v>
      </c>
      <c r="J90" s="137">
        <v>0</v>
      </c>
      <c r="K90" s="137">
        <v>0</v>
      </c>
      <c r="L90" s="138">
        <v>0</v>
      </c>
      <c r="M90" s="136">
        <f t="shared" si="80"/>
        <v>0</v>
      </c>
      <c r="N90" s="129">
        <v>0</v>
      </c>
      <c r="O90" s="137">
        <v>0</v>
      </c>
      <c r="P90" s="137">
        <v>0</v>
      </c>
      <c r="Q90" s="138">
        <v>0</v>
      </c>
      <c r="R90" s="73">
        <f t="shared" si="81"/>
        <v>0</v>
      </c>
      <c r="S90" s="129">
        <v>0</v>
      </c>
      <c r="T90" s="137">
        <v>0</v>
      </c>
      <c r="U90" s="137">
        <v>0</v>
      </c>
      <c r="V90" s="138">
        <v>0</v>
      </c>
      <c r="W90" s="73">
        <f t="shared" si="82"/>
        <v>0.155</v>
      </c>
      <c r="X90" s="74">
        <f t="shared" si="83"/>
        <v>0.15</v>
      </c>
      <c r="Y90" s="75">
        <f t="shared" si="83"/>
        <v>0.154</v>
      </c>
      <c r="Z90" s="75">
        <f t="shared" si="83"/>
        <v>0.155</v>
      </c>
      <c r="AA90" s="77">
        <f t="shared" si="83"/>
        <v>0.155</v>
      </c>
      <c r="AB90" s="73">
        <f t="shared" si="84"/>
        <v>0.34599999999999997</v>
      </c>
      <c r="AC90" s="74">
        <f t="shared" si="85"/>
        <v>0.25600000000000001</v>
      </c>
      <c r="AD90" s="75">
        <f t="shared" si="85"/>
        <v>0.32</v>
      </c>
      <c r="AE90" s="75">
        <f t="shared" si="85"/>
        <v>0.32300000000000001</v>
      </c>
      <c r="AF90" s="76">
        <f t="shared" si="85"/>
        <v>0.34599999999999997</v>
      </c>
      <c r="AG90" s="73">
        <f t="shared" si="86"/>
        <v>0.30399999999999999</v>
      </c>
      <c r="AH90" s="80">
        <f t="shared" si="87"/>
        <v>0.32300000000000001</v>
      </c>
      <c r="AI90" s="75">
        <f t="shared" si="87"/>
        <v>0.25</v>
      </c>
      <c r="AJ90" s="75">
        <f t="shared" si="87"/>
        <v>0.22700000000000001</v>
      </c>
      <c r="AK90" s="77">
        <f t="shared" si="87"/>
        <v>0.30399999999999999</v>
      </c>
      <c r="AT90" s="6"/>
      <c r="AU90" s="6"/>
      <c r="AV90" s="6"/>
      <c r="AW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1:64" s="14" customFormat="1" ht="15.75" thickBot="1" x14ac:dyDescent="0.3">
      <c r="A91" s="47"/>
      <c r="B91" s="43"/>
      <c r="C91" s="139"/>
      <c r="D91" s="140"/>
      <c r="E91" s="140"/>
      <c r="F91" s="140"/>
      <c r="G91" s="140"/>
      <c r="H91" s="139"/>
      <c r="I91" s="140"/>
      <c r="J91" s="140"/>
      <c r="K91" s="140"/>
      <c r="L91" s="140"/>
      <c r="M91" s="139"/>
      <c r="N91" s="140"/>
      <c r="O91" s="140"/>
      <c r="P91" s="140"/>
      <c r="Q91" s="140"/>
      <c r="R91" s="48"/>
      <c r="S91" s="46"/>
      <c r="T91" s="46"/>
      <c r="U91" s="46"/>
      <c r="V91" s="46"/>
      <c r="W91" s="48"/>
      <c r="X91" s="46"/>
      <c r="Y91" s="46"/>
      <c r="Z91" s="46"/>
      <c r="AA91" s="46"/>
      <c r="AB91" s="48"/>
      <c r="AC91" s="46"/>
      <c r="AD91" s="46"/>
      <c r="AE91" s="46"/>
      <c r="AF91" s="46"/>
      <c r="AG91" s="48"/>
      <c r="AH91" s="46"/>
      <c r="AI91" s="46"/>
      <c r="AJ91" s="46"/>
      <c r="AK91" s="46"/>
    </row>
    <row r="92" spans="1:64" s="14" customFormat="1" ht="58.5" customHeight="1" thickBot="1" x14ac:dyDescent="0.3">
      <c r="A92" s="45" t="s">
        <v>113</v>
      </c>
      <c r="B92" s="368"/>
      <c r="C92" s="331" t="str">
        <f>IF(SUM(C88:C90)&gt;0,"Проверка пройдена","Заполните данные в запасах (Таблица 3)")</f>
        <v>Проверка пройдена</v>
      </c>
      <c r="D92" s="329" t="str">
        <f t="shared" ref="D92:V92" si="88">IF(SUM(D88:D90)&gt;0,"Проверка пройдена","Заполните данные в запасах (Таблица 3)")</f>
        <v>Проверка пройдена</v>
      </c>
      <c r="E92" s="322" t="str">
        <f t="shared" si="88"/>
        <v>Проверка пройдена</v>
      </c>
      <c r="F92" s="322" t="str">
        <f t="shared" si="88"/>
        <v>Проверка пройдена</v>
      </c>
      <c r="G92" s="323" t="str">
        <f t="shared" si="88"/>
        <v>Проверка пройдена</v>
      </c>
      <c r="H92" s="330" t="str">
        <f t="shared" si="88"/>
        <v>Проверка пройдена</v>
      </c>
      <c r="I92" s="329" t="str">
        <f t="shared" si="88"/>
        <v>Проверка пройдена</v>
      </c>
      <c r="J92" s="322" t="str">
        <f t="shared" si="88"/>
        <v>Проверка пройдена</v>
      </c>
      <c r="K92" s="322" t="str">
        <f t="shared" si="88"/>
        <v>Проверка пройдена</v>
      </c>
      <c r="L92" s="323" t="str">
        <f t="shared" si="88"/>
        <v>Проверка пройдена</v>
      </c>
      <c r="M92" s="330" t="str">
        <f t="shared" si="88"/>
        <v>Проверка пройдена</v>
      </c>
      <c r="N92" s="329" t="str">
        <f t="shared" si="88"/>
        <v>Проверка пройдена</v>
      </c>
      <c r="O92" s="322" t="str">
        <f t="shared" si="88"/>
        <v>Проверка пройдена</v>
      </c>
      <c r="P92" s="322" t="str">
        <f t="shared" si="88"/>
        <v>Проверка пройдена</v>
      </c>
      <c r="Q92" s="323" t="str">
        <f>IF(SUM(Q88:Q90)&gt;0,"Проверка пройдена","Заполните данные в запасах (Таблица 3)")</f>
        <v>Проверка пройдена</v>
      </c>
      <c r="R92" s="330" t="str">
        <f t="shared" si="88"/>
        <v>Проверка пройдена</v>
      </c>
      <c r="S92" s="329" t="str">
        <f t="shared" si="88"/>
        <v>Проверка пройдена</v>
      </c>
      <c r="T92" s="322" t="str">
        <f t="shared" si="88"/>
        <v>Проверка пройдена</v>
      </c>
      <c r="U92" s="322" t="str">
        <f t="shared" si="88"/>
        <v>Проверка пройдена</v>
      </c>
      <c r="V92" s="323" t="str">
        <f t="shared" si="88"/>
        <v>Проверка пройдена</v>
      </c>
      <c r="W92" s="48"/>
      <c r="X92" s="46"/>
      <c r="Y92" s="46"/>
      <c r="Z92" s="46"/>
      <c r="AA92" s="46"/>
      <c r="AB92" s="48"/>
      <c r="AC92" s="46"/>
      <c r="AD92" s="46"/>
      <c r="AE92" s="46"/>
      <c r="AF92" s="46"/>
      <c r="AG92" s="48"/>
      <c r="AH92" s="46"/>
      <c r="AI92" s="46"/>
      <c r="AJ92" s="46"/>
      <c r="AK92" s="46"/>
    </row>
    <row r="93" spans="1:64" x14ac:dyDescent="0.25">
      <c r="A93" s="1"/>
      <c r="B93" s="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4"/>
    </row>
    <row r="94" spans="1:64" s="14" customFormat="1" x14ac:dyDescent="0.25">
      <c r="A94" s="242" t="s">
        <v>110</v>
      </c>
      <c r="B94" s="114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86"/>
      <c r="S94" s="86"/>
      <c r="T94" s="86"/>
      <c r="U94" s="86"/>
      <c r="V94" s="86"/>
      <c r="W94" s="87"/>
      <c r="X94" s="88"/>
      <c r="Y94" s="88"/>
      <c r="Z94" s="88"/>
      <c r="AA94" s="88"/>
      <c r="AB94" s="87"/>
      <c r="AC94" s="88"/>
      <c r="AD94" s="88"/>
      <c r="AE94" s="88"/>
      <c r="AF94" s="88"/>
      <c r="AG94" s="87"/>
      <c r="AH94" s="88"/>
      <c r="AI94" s="88"/>
      <c r="AJ94" s="88"/>
      <c r="AK94" s="88"/>
    </row>
    <row r="95" spans="1:64" s="14" customFormat="1" x14ac:dyDescent="0.25">
      <c r="A95" s="241" t="s">
        <v>124</v>
      </c>
      <c r="B95" s="114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86"/>
      <c r="S95" s="86"/>
      <c r="T95" s="86"/>
      <c r="U95" s="86"/>
      <c r="V95" s="86"/>
      <c r="W95" s="87"/>
      <c r="X95" s="88"/>
      <c r="Y95" s="88"/>
      <c r="Z95" s="88"/>
      <c r="AA95" s="88"/>
      <c r="AB95" s="87"/>
      <c r="AC95" s="88"/>
      <c r="AD95" s="88"/>
      <c r="AE95" s="88"/>
      <c r="AF95" s="88"/>
      <c r="AG95" s="87"/>
      <c r="AH95" s="88"/>
      <c r="AI95" s="88"/>
      <c r="AJ95" s="88"/>
      <c r="AK95" s="88"/>
    </row>
    <row r="96" spans="1:64" s="14" customFormat="1" x14ac:dyDescent="0.25">
      <c r="A96" s="241" t="s">
        <v>128</v>
      </c>
      <c r="B96" s="114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86"/>
      <c r="S96" s="86"/>
      <c r="T96" s="86"/>
      <c r="U96" s="86"/>
      <c r="V96" s="86"/>
      <c r="W96" s="87"/>
      <c r="X96" s="88"/>
      <c r="Y96" s="88"/>
      <c r="Z96" s="88"/>
      <c r="AA96" s="88"/>
      <c r="AB96" s="87"/>
      <c r="AC96" s="88"/>
      <c r="AD96" s="88"/>
      <c r="AE96" s="88"/>
      <c r="AF96" s="88"/>
      <c r="AG96" s="87"/>
      <c r="AH96" s="88"/>
      <c r="AI96" s="88"/>
      <c r="AJ96" s="88"/>
      <c r="AK96" s="88"/>
    </row>
    <row r="97" spans="1:49" ht="15.75" thickBot="1" x14ac:dyDescent="0.3">
      <c r="A97" s="241" t="s">
        <v>104</v>
      </c>
      <c r="B97" s="8"/>
      <c r="C97" s="142"/>
      <c r="D97" s="142"/>
      <c r="E97" s="142"/>
      <c r="F97" s="142"/>
      <c r="G97" s="142"/>
      <c r="H97" s="142"/>
      <c r="I97" s="143"/>
      <c r="J97" s="143"/>
      <c r="K97" s="143"/>
      <c r="L97" s="143"/>
      <c r="M97" s="143"/>
      <c r="N97" s="143"/>
      <c r="O97" s="143"/>
      <c r="P97" s="143"/>
      <c r="Q97" s="143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90"/>
    </row>
    <row r="98" spans="1:49" s="33" customFormat="1" ht="15.75" thickBot="1" x14ac:dyDescent="0.3">
      <c r="A98" s="167" t="s">
        <v>13</v>
      </c>
      <c r="B98" s="91" t="s">
        <v>42</v>
      </c>
      <c r="C98" s="536" t="str">
        <f>(YEAR(Test_date)-3)&amp;" год"</f>
        <v>2016 год</v>
      </c>
      <c r="D98" s="537" t="str">
        <f>(LEFT(C98,4)+1)&amp;" год"</f>
        <v>2017 год</v>
      </c>
      <c r="E98" s="538" t="str">
        <f>(LEFT(D98,4)+1)&amp;" год"</f>
        <v>2018 год</v>
      </c>
      <c r="F98" s="539" t="str">
        <f>(LEFT(E98,4)+1)&amp;" год"</f>
        <v>2019 год</v>
      </c>
      <c r="G98" s="537" t="str">
        <f>(LEFT(F98,4)+1)&amp;" год"</f>
        <v>2020 год</v>
      </c>
      <c r="H98" s="538" t="str">
        <f>(LEFT(G98,4)+1)&amp;" год"</f>
        <v>2021 год</v>
      </c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69"/>
    </row>
    <row r="99" spans="1:49" ht="15.75" thickBot="1" x14ac:dyDescent="0.3">
      <c r="A99" s="172" t="s">
        <v>107</v>
      </c>
      <c r="B99" s="171" t="s">
        <v>105</v>
      </c>
      <c r="C99" s="174">
        <v>1018.746</v>
      </c>
      <c r="D99" s="174">
        <v>1018.19</v>
      </c>
      <c r="E99" s="175">
        <v>1015.79</v>
      </c>
      <c r="F99" s="173">
        <v>1013.45</v>
      </c>
      <c r="G99" s="174">
        <v>1009.822</v>
      </c>
      <c r="H99" s="175">
        <v>1005.899</v>
      </c>
      <c r="I99" s="143"/>
      <c r="J99" s="143"/>
      <c r="K99" s="143"/>
      <c r="L99" s="143"/>
      <c r="M99" s="143"/>
      <c r="N99" s="143"/>
      <c r="O99" s="143"/>
      <c r="P99" s="143"/>
      <c r="Q99" s="143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90"/>
    </row>
    <row r="100" spans="1:49" x14ac:dyDescent="0.25">
      <c r="A100" s="92"/>
      <c r="B100" s="93"/>
      <c r="C100" s="449"/>
      <c r="D100" s="449"/>
      <c r="E100" s="449"/>
      <c r="F100" s="449"/>
      <c r="G100" s="449"/>
      <c r="H100" s="449"/>
      <c r="I100" s="143"/>
      <c r="J100" s="143"/>
      <c r="K100" s="143"/>
      <c r="L100" s="143"/>
      <c r="M100" s="143"/>
      <c r="N100" s="143"/>
      <c r="O100" s="143"/>
      <c r="P100" s="143"/>
      <c r="Q100" s="143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90"/>
    </row>
    <row r="101" spans="1:49" s="14" customFormat="1" x14ac:dyDescent="0.25">
      <c r="A101" s="242" t="s">
        <v>127</v>
      </c>
      <c r="B101" s="114"/>
      <c r="C101" s="144"/>
      <c r="D101" s="144"/>
      <c r="E101" s="144"/>
      <c r="F101" s="144"/>
      <c r="G101" s="144"/>
      <c r="H101" s="144"/>
      <c r="I101" s="141"/>
      <c r="J101" s="141"/>
      <c r="K101" s="141"/>
      <c r="L101" s="141"/>
      <c r="M101" s="141"/>
      <c r="N101" s="141"/>
      <c r="O101" s="141"/>
      <c r="P101" s="141"/>
      <c r="Q101" s="141"/>
      <c r="R101" s="86"/>
      <c r="S101" s="86"/>
      <c r="T101" s="86"/>
      <c r="U101" s="86"/>
      <c r="V101" s="86"/>
      <c r="W101" s="87"/>
      <c r="X101" s="88"/>
      <c r="Y101" s="88"/>
      <c r="Z101" s="88"/>
      <c r="AA101" s="88"/>
      <c r="AB101" s="87"/>
      <c r="AC101" s="88"/>
      <c r="AD101" s="88"/>
      <c r="AE101" s="88"/>
      <c r="AF101" s="88"/>
      <c r="AG101" s="87"/>
      <c r="AH101" s="88"/>
      <c r="AI101" s="88"/>
      <c r="AJ101" s="88"/>
      <c r="AK101" s="88"/>
    </row>
    <row r="102" spans="1:49" ht="15.75" thickBot="1" x14ac:dyDescent="0.3">
      <c r="A102" s="241" t="s">
        <v>129</v>
      </c>
      <c r="B102" s="8"/>
      <c r="C102" s="142"/>
      <c r="D102" s="142"/>
      <c r="E102" s="142"/>
      <c r="F102" s="142"/>
      <c r="G102" s="142"/>
      <c r="H102" s="142"/>
      <c r="I102" s="143"/>
      <c r="J102" s="143"/>
      <c r="K102" s="143"/>
      <c r="L102" s="143"/>
      <c r="M102" s="143"/>
      <c r="N102" s="143"/>
      <c r="O102" s="143"/>
      <c r="P102" s="143"/>
      <c r="Q102" s="143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90"/>
    </row>
    <row r="103" spans="1:49" s="33" customFormat="1" ht="15.75" thickBot="1" x14ac:dyDescent="0.3">
      <c r="A103" s="167" t="s">
        <v>13</v>
      </c>
      <c r="B103" s="91" t="s">
        <v>42</v>
      </c>
      <c r="C103" s="539" t="str">
        <f>YEAR(Test_date)&amp;" год"</f>
        <v>2019 год</v>
      </c>
      <c r="D103" s="537" t="str">
        <f>(LEFT(C103,4)+1)&amp;" год"</f>
        <v>2020 год</v>
      </c>
      <c r="E103" s="538" t="str">
        <f>(LEFT(D103,4)+1)&amp;" год"</f>
        <v>2021 год</v>
      </c>
      <c r="F103" s="94"/>
      <c r="G103" s="94"/>
      <c r="H103" s="94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69"/>
    </row>
    <row r="104" spans="1:49" x14ac:dyDescent="0.25">
      <c r="A104" s="168" t="s">
        <v>114</v>
      </c>
      <c r="B104" s="117" t="s">
        <v>133</v>
      </c>
      <c r="C104" s="514">
        <f>IFERROR(((C67+H67+M67)/($C$99+$D$99+$E$99))*1000,0)</f>
        <v>4.602771424621797</v>
      </c>
      <c r="D104" s="515">
        <f>C104</f>
        <v>4.602771424621797</v>
      </c>
      <c r="E104" s="516">
        <f>D104</f>
        <v>4.602771424621797</v>
      </c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x14ac:dyDescent="0.25">
      <c r="A105" s="165" t="s">
        <v>89</v>
      </c>
      <c r="B105" s="35" t="s">
        <v>133</v>
      </c>
      <c r="C105" s="514">
        <f>IFERROR(((C68+H68+M68)/($C$99+$D$99+$E$99))*1000,0)</f>
        <v>2.0745392806298368</v>
      </c>
      <c r="D105" s="515">
        <f t="shared" ref="D105:E106" si="89">C105</f>
        <v>2.0745392806298368</v>
      </c>
      <c r="E105" s="516">
        <f t="shared" si="89"/>
        <v>2.0745392806298368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1:49" ht="15.75" thickBot="1" x14ac:dyDescent="0.3">
      <c r="A106" s="166" t="s">
        <v>90</v>
      </c>
      <c r="B106" s="65" t="s">
        <v>133</v>
      </c>
      <c r="C106" s="517">
        <f>IFERROR(((C69+H69+M69)/($C$99+$D$99+$E$99))*1000,0)</f>
        <v>8.2549170806682282E-2</v>
      </c>
      <c r="D106" s="518">
        <f t="shared" si="89"/>
        <v>8.2549170806682282E-2</v>
      </c>
      <c r="E106" s="519">
        <f t="shared" si="89"/>
        <v>8.2549170806682282E-2</v>
      </c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 x14ac:dyDescent="0.25">
      <c r="A107" s="5"/>
      <c r="B107" s="3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spans="1:49" x14ac:dyDescent="0.25">
      <c r="A108" s="242" t="s">
        <v>111</v>
      </c>
      <c r="B108" s="3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</row>
    <row r="109" spans="1:49" x14ac:dyDescent="0.25">
      <c r="A109" s="241" t="s">
        <v>123</v>
      </c>
      <c r="B109" s="3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</row>
    <row r="110" spans="1:49" ht="15.75" thickBot="1" x14ac:dyDescent="0.3">
      <c r="A110" s="433" t="s">
        <v>126</v>
      </c>
      <c r="B110" s="32"/>
      <c r="C110" s="4"/>
      <c r="D110" s="4"/>
      <c r="E110" s="4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</row>
    <row r="111" spans="1:49" ht="14.65" customHeight="1" x14ac:dyDescent="0.25">
      <c r="A111" s="589" t="s">
        <v>16</v>
      </c>
      <c r="B111" s="591" t="s">
        <v>42</v>
      </c>
      <c r="C111" s="593" t="str">
        <f>YEAR(Test_date)&amp;" год"</f>
        <v>2019 год</v>
      </c>
      <c r="D111" s="595" t="str">
        <f>C111</f>
        <v>2019 год</v>
      </c>
      <c r="E111" s="596"/>
      <c r="F111" s="596"/>
      <c r="G111" s="597"/>
      <c r="H111" s="598" t="s">
        <v>87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49" ht="15.75" thickBot="1" x14ac:dyDescent="0.3">
      <c r="A112" s="590"/>
      <c r="B112" s="592"/>
      <c r="C112" s="594"/>
      <c r="D112" s="531" t="s">
        <v>0</v>
      </c>
      <c r="E112" s="532" t="s">
        <v>1</v>
      </c>
      <c r="F112" s="532" t="s">
        <v>2</v>
      </c>
      <c r="G112" s="534" t="s">
        <v>3</v>
      </c>
      <c r="H112" s="598"/>
      <c r="I112" s="12"/>
      <c r="J112" s="12"/>
      <c r="K112" s="12"/>
      <c r="L112" s="12"/>
      <c r="M112" s="12"/>
      <c r="N112" s="12"/>
      <c r="O112" s="12"/>
      <c r="P112" s="12"/>
      <c r="Q112" s="1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49" x14ac:dyDescent="0.25">
      <c r="A113" s="377" t="s">
        <v>92</v>
      </c>
      <c r="B113" s="170" t="s">
        <v>115</v>
      </c>
      <c r="C113" s="450">
        <f t="shared" ref="C113:C120" si="90">SUM(D113:G113)</f>
        <v>1.0000000000000002</v>
      </c>
      <c r="D113" s="508">
        <f>AVERAGE(D66/$C$66,I66/$H$66,N66/$M$66)</f>
        <v>0.25047954870110184</v>
      </c>
      <c r="E113" s="509">
        <f>1-SUM(D113,F113:G113)</f>
        <v>0.25033825763597684</v>
      </c>
      <c r="F113" s="508">
        <f>AVERAGE(F66/$C$66,K66/$H$66,P66/$M$66)</f>
        <v>0.24952173307116854</v>
      </c>
      <c r="G113" s="510">
        <f>AVERAGE(G66/$C$66,L66/$H$66,Q66/$M$66)</f>
        <v>0.24966046059175287</v>
      </c>
      <c r="H113" s="145"/>
      <c r="I113" s="12"/>
      <c r="J113" s="12"/>
      <c r="K113" s="12"/>
      <c r="L113" s="12"/>
      <c r="M113" s="12"/>
      <c r="N113" s="12"/>
      <c r="O113" s="12"/>
      <c r="P113" s="12"/>
      <c r="Q113" s="12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49" x14ac:dyDescent="0.25">
      <c r="A114" s="165" t="s">
        <v>114</v>
      </c>
      <c r="B114" s="35" t="s">
        <v>115</v>
      </c>
      <c r="C114" s="146">
        <f>SUM(D114:G114)</f>
        <v>1</v>
      </c>
      <c r="D114" s="147">
        <v>0.251</v>
      </c>
      <c r="E114" s="148">
        <v>0.251</v>
      </c>
      <c r="F114" s="147">
        <v>0.248</v>
      </c>
      <c r="G114" s="147">
        <v>0.25</v>
      </c>
      <c r="H114" s="145" t="str">
        <f>IF(AND(SUM(D114:G114)&gt;0,C114&lt;&gt;1),"Сумма значений 1,2,3,4 кварталов должна равняться '1'","Проверка пройдена")</f>
        <v>Проверка пройдена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49" x14ac:dyDescent="0.25">
      <c r="A115" s="165" t="s">
        <v>89</v>
      </c>
      <c r="B115" s="35" t="s">
        <v>115</v>
      </c>
      <c r="C115" s="146">
        <f t="shared" si="90"/>
        <v>1</v>
      </c>
      <c r="D115" s="147">
        <v>0.252</v>
      </c>
      <c r="E115" s="148">
        <v>0.25</v>
      </c>
      <c r="F115" s="147">
        <v>0.249</v>
      </c>
      <c r="G115" s="148">
        <v>0.249</v>
      </c>
      <c r="H115" s="145" t="str">
        <f t="shared" ref="H115:H116" si="91">IF(AND(SUM(D115:G115)&gt;0,C115&lt;&gt;1),"Сумма значений 1,2,3,4 кварталов должна равняться '1'","Проверка пройдена")</f>
        <v>Проверка пройдена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49" x14ac:dyDescent="0.25">
      <c r="A116" s="165" t="s">
        <v>90</v>
      </c>
      <c r="B116" s="35" t="s">
        <v>115</v>
      </c>
      <c r="C116" s="146">
        <f t="shared" si="90"/>
        <v>0</v>
      </c>
      <c r="D116" s="147">
        <v>0</v>
      </c>
      <c r="E116" s="148">
        <v>0</v>
      </c>
      <c r="F116" s="147">
        <v>0</v>
      </c>
      <c r="G116" s="148">
        <v>0</v>
      </c>
      <c r="H116" s="145" t="str">
        <f t="shared" si="91"/>
        <v>Проверка пройдена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49" x14ac:dyDescent="0.25">
      <c r="A117" s="378" t="s">
        <v>93</v>
      </c>
      <c r="B117" s="379" t="s">
        <v>115</v>
      </c>
      <c r="C117" s="511" t="e">
        <f t="shared" si="90"/>
        <v>#DIV/0!</v>
      </c>
      <c r="D117" s="512" t="e">
        <f>AVERAGE(D58/$C$58,I58/$H$58,N58/$M$58)</f>
        <v>#DIV/0!</v>
      </c>
      <c r="E117" s="513" t="e">
        <f>1-SUM(D117,F117:G117)</f>
        <v>#DIV/0!</v>
      </c>
      <c r="F117" s="512" t="e">
        <f>AVERAGE(F58/$C$58,K58/$H$58,P58/$M$58)</f>
        <v>#DIV/0!</v>
      </c>
      <c r="G117" s="513" t="e">
        <f>AVERAGE(G58/$C$58,L58/$H$58,Q58/$M$58)</f>
        <v>#DIV/0!</v>
      </c>
      <c r="H117" s="145"/>
      <c r="I117" s="12"/>
      <c r="J117" s="12"/>
      <c r="K117" s="12"/>
      <c r="L117" s="12"/>
      <c r="M117" s="12"/>
      <c r="N117" s="12"/>
      <c r="O117" s="12"/>
      <c r="P117" s="12"/>
      <c r="Q117" s="12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49" x14ac:dyDescent="0.25">
      <c r="A118" s="165" t="s">
        <v>114</v>
      </c>
      <c r="B118" s="35" t="s">
        <v>115</v>
      </c>
      <c r="C118" s="146">
        <f t="shared" si="90"/>
        <v>0</v>
      </c>
      <c r="D118" s="147">
        <v>0</v>
      </c>
      <c r="E118" s="148">
        <v>0</v>
      </c>
      <c r="F118" s="147">
        <v>0</v>
      </c>
      <c r="G118" s="148">
        <v>0</v>
      </c>
      <c r="H118" s="145" t="str">
        <f t="shared" ref="H118:H120" si="92">IF(AND(SUM(D118:G118)&gt;0,C118&lt;&gt;1),"Сумма значений 1,2,3,4 кварталов должна равняться '1'","Проверка пройдена")</f>
        <v>Проверка пройдена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49" x14ac:dyDescent="0.25">
      <c r="A119" s="165" t="s">
        <v>89</v>
      </c>
      <c r="B119" s="35" t="s">
        <v>115</v>
      </c>
      <c r="C119" s="146">
        <f t="shared" si="90"/>
        <v>0</v>
      </c>
      <c r="D119" s="147">
        <v>0</v>
      </c>
      <c r="E119" s="148">
        <v>0</v>
      </c>
      <c r="F119" s="147">
        <v>0</v>
      </c>
      <c r="G119" s="148">
        <v>0</v>
      </c>
      <c r="H119" s="145" t="str">
        <f t="shared" si="92"/>
        <v>Проверка пройдена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49" ht="15.75" thickBot="1" x14ac:dyDescent="0.3">
      <c r="A120" s="166" t="s">
        <v>90</v>
      </c>
      <c r="B120" s="65" t="s">
        <v>115</v>
      </c>
      <c r="C120" s="149">
        <f t="shared" si="90"/>
        <v>0</v>
      </c>
      <c r="D120" s="150">
        <v>0</v>
      </c>
      <c r="E120" s="151">
        <v>0</v>
      </c>
      <c r="F120" s="151">
        <v>0</v>
      </c>
      <c r="G120" s="151">
        <v>0</v>
      </c>
      <c r="H120" s="145" t="str">
        <f t="shared" si="92"/>
        <v>Проверка пройдена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49" x14ac:dyDescent="0.25">
      <c r="A121" s="4"/>
      <c r="B121" s="32"/>
      <c r="C121" s="12"/>
      <c r="D121" s="12"/>
      <c r="E121" s="12"/>
      <c r="F121" s="12"/>
      <c r="G121" s="1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</row>
    <row r="122" spans="1:49" x14ac:dyDescent="0.25">
      <c r="A122" s="242" t="s">
        <v>112</v>
      </c>
      <c r="B122" s="3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</row>
    <row r="123" spans="1:49" x14ac:dyDescent="0.25">
      <c r="A123" s="241" t="s">
        <v>131</v>
      </c>
      <c r="B123" s="37"/>
      <c r="C123" s="9"/>
      <c r="D123" s="9"/>
      <c r="E123" s="9"/>
      <c r="F123" s="9"/>
      <c r="G123" s="9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</row>
    <row r="124" spans="1:49" ht="15.75" thickBot="1" x14ac:dyDescent="0.3">
      <c r="A124" s="241" t="s">
        <v>132</v>
      </c>
      <c r="B124" s="37"/>
      <c r="C124" s="9"/>
      <c r="D124" s="9"/>
      <c r="E124" s="9"/>
      <c r="F124" s="9"/>
      <c r="G124" s="9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</row>
    <row r="125" spans="1:49" s="33" customFormat="1" x14ac:dyDescent="0.25">
      <c r="A125" s="599" t="s">
        <v>21</v>
      </c>
      <c r="B125" s="601" t="s">
        <v>22</v>
      </c>
      <c r="C125" s="603" t="str">
        <f>YEAR(Test_date)&amp;" год"</f>
        <v>2019 год</v>
      </c>
      <c r="D125" s="604"/>
      <c r="E125" s="604"/>
      <c r="F125" s="605"/>
      <c r="G125" s="586" t="str">
        <f>(LEFT(C125,4)+1)&amp;" год"</f>
        <v>2020 год</v>
      </c>
      <c r="H125" s="587"/>
      <c r="I125" s="587"/>
      <c r="J125" s="588"/>
      <c r="K125" s="586" t="str">
        <f>(LEFT(G125,4)+1)&amp;" год"</f>
        <v>2021 год</v>
      </c>
      <c r="L125" s="587"/>
      <c r="M125" s="587"/>
      <c r="N125" s="588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s="33" customFormat="1" ht="15.75" thickBot="1" x14ac:dyDescent="0.3">
      <c r="A126" s="600"/>
      <c r="B126" s="602"/>
      <c r="C126" s="352">
        <v>1</v>
      </c>
      <c r="D126" s="353">
        <v>2</v>
      </c>
      <c r="E126" s="353">
        <v>3</v>
      </c>
      <c r="F126" s="354">
        <v>4</v>
      </c>
      <c r="G126" s="352" t="s">
        <v>0</v>
      </c>
      <c r="H126" s="353" t="s">
        <v>1</v>
      </c>
      <c r="I126" s="353" t="s">
        <v>2</v>
      </c>
      <c r="J126" s="354" t="s">
        <v>3</v>
      </c>
      <c r="K126" s="352" t="s">
        <v>0</v>
      </c>
      <c r="L126" s="353" t="s">
        <v>1</v>
      </c>
      <c r="M126" s="353" t="s">
        <v>2</v>
      </c>
      <c r="N126" s="354" t="s">
        <v>3</v>
      </c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x14ac:dyDescent="0.25">
      <c r="A127" s="335" t="s">
        <v>23</v>
      </c>
      <c r="B127" s="339"/>
      <c r="C127" s="355"/>
      <c r="D127" s="306"/>
      <c r="E127" s="306"/>
      <c r="F127" s="306"/>
      <c r="G127" s="355"/>
      <c r="H127" s="306"/>
      <c r="I127" s="306"/>
      <c r="J127" s="306"/>
      <c r="K127" s="355"/>
      <c r="L127" s="306"/>
      <c r="M127" s="306"/>
      <c r="N127" s="307"/>
      <c r="O127" s="12"/>
      <c r="P127" s="12"/>
      <c r="Q127" s="12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</row>
    <row r="128" spans="1:49" x14ac:dyDescent="0.25">
      <c r="A128" s="337" t="s">
        <v>24</v>
      </c>
      <c r="B128" s="338" t="s">
        <v>102</v>
      </c>
      <c r="C128" s="308">
        <f t="shared" ref="C128:N128" si="93">SUM(C129:C131)</f>
        <v>30.572000000000003</v>
      </c>
      <c r="D128" s="309">
        <f t="shared" si="93"/>
        <v>30.532999999999998</v>
      </c>
      <c r="E128" s="309">
        <f t="shared" si="93"/>
        <v>30.677</v>
      </c>
      <c r="F128" s="310">
        <f t="shared" si="93"/>
        <v>30.557000000000002</v>
      </c>
      <c r="G128" s="308">
        <f t="shared" si="93"/>
        <v>28.671999999999997</v>
      </c>
      <c r="H128" s="309">
        <f t="shared" si="93"/>
        <v>28.332999999999998</v>
      </c>
      <c r="I128" s="309">
        <f t="shared" si="93"/>
        <v>28.477</v>
      </c>
      <c r="J128" s="310">
        <f t="shared" si="93"/>
        <v>28.527000000000001</v>
      </c>
      <c r="K128" s="308">
        <f t="shared" si="93"/>
        <v>27.821999999999999</v>
      </c>
      <c r="L128" s="309">
        <f t="shared" si="93"/>
        <v>27.332999999999998</v>
      </c>
      <c r="M128" s="309">
        <f t="shared" si="93"/>
        <v>27.367000000000001</v>
      </c>
      <c r="N128" s="310">
        <f t="shared" si="93"/>
        <v>27.487000000000002</v>
      </c>
      <c r="O128" s="12"/>
      <c r="P128" s="12"/>
      <c r="Q128" s="1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</row>
    <row r="129" spans="1:49" x14ac:dyDescent="0.25">
      <c r="A129" s="333" t="s">
        <v>114</v>
      </c>
      <c r="B129" s="334" t="s">
        <v>102</v>
      </c>
      <c r="C129" s="311">
        <f>'2. Прогноз. Без корректировки'!C30</f>
        <v>25.027000000000001</v>
      </c>
      <c r="D129" s="312">
        <f>'2. Прогноз. Без корректировки'!D30</f>
        <v>25.001999999999999</v>
      </c>
      <c r="E129" s="312">
        <f>'2. Прогноз. Без корректировки'!E30</f>
        <v>25.047000000000001</v>
      </c>
      <c r="F129" s="313">
        <f>'2. Прогноз. Без корректировки'!F30</f>
        <v>24.88</v>
      </c>
      <c r="G129" s="311">
        <f>'2. Прогноз. Без корректировки'!H30</f>
        <v>23.126999999999999</v>
      </c>
      <c r="H129" s="312">
        <f>'2. Прогноз. Без корректировки'!I30</f>
        <v>22.802</v>
      </c>
      <c r="I129" s="312">
        <f>'2. Прогноз. Без корректировки'!J30</f>
        <v>22.847000000000001</v>
      </c>
      <c r="J129" s="313">
        <f>'2. Прогноз. Без корректировки'!K30</f>
        <v>22.85</v>
      </c>
      <c r="K129" s="311">
        <f>'2. Прогноз. Без корректировки'!M30</f>
        <v>22.626999999999999</v>
      </c>
      <c r="L129" s="312">
        <f>'2. Прогноз. Без корректировки'!N30</f>
        <v>22.052</v>
      </c>
      <c r="M129" s="312">
        <f>'2. Прогноз. Без корректировки'!O30</f>
        <v>22.087</v>
      </c>
      <c r="N129" s="313">
        <f>'2. Прогноз. Без корректировки'!P30</f>
        <v>22.11</v>
      </c>
      <c r="O129" s="12"/>
      <c r="P129" s="12"/>
      <c r="Q129" s="1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</row>
    <row r="130" spans="1:49" x14ac:dyDescent="0.25">
      <c r="A130" s="333" t="s">
        <v>89</v>
      </c>
      <c r="B130" s="334" t="s">
        <v>102</v>
      </c>
      <c r="C130" s="311">
        <f>'2. Прогноз. Без корректировки'!C33</f>
        <v>5.0449999999999999</v>
      </c>
      <c r="D130" s="312">
        <f>'2. Прогноз. Без корректировки'!D33</f>
        <v>5.0810000000000004</v>
      </c>
      <c r="E130" s="312">
        <f>'2. Прогноз. Без корректировки'!E33</f>
        <v>5.13</v>
      </c>
      <c r="F130" s="313">
        <f>'2. Прогноз. Без корректировки'!F33</f>
        <v>5.077</v>
      </c>
      <c r="G130" s="311">
        <f>'2. Прогноз. Без корректировки'!H33</f>
        <v>5.0449999999999999</v>
      </c>
      <c r="H130" s="312">
        <f>'2. Прогноз. Без корректировки'!I33</f>
        <v>5.0810000000000004</v>
      </c>
      <c r="I130" s="312">
        <f>'2. Прогноз. Без корректировки'!J33</f>
        <v>5.13</v>
      </c>
      <c r="J130" s="313">
        <f>'2. Прогноз. Без корректировки'!K33</f>
        <v>5.077</v>
      </c>
      <c r="K130" s="311">
        <f>'2. Прогноз. Без корректировки'!M33</f>
        <v>4.9950000000000001</v>
      </c>
      <c r="L130" s="312">
        <f>'2. Прогноз. Без корректировки'!N33</f>
        <v>5.0309999999999997</v>
      </c>
      <c r="M130" s="312">
        <f>'2. Прогноз. Без корректировки'!O33</f>
        <v>5.08</v>
      </c>
      <c r="N130" s="313">
        <f>'2. Прогноз. Без корректировки'!P33</f>
        <v>5.0270000000000001</v>
      </c>
      <c r="O130" s="12"/>
      <c r="P130" s="12"/>
      <c r="Q130" s="1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</row>
    <row r="131" spans="1:49" x14ac:dyDescent="0.25">
      <c r="A131" s="333" t="s">
        <v>90</v>
      </c>
      <c r="B131" s="334" t="s">
        <v>102</v>
      </c>
      <c r="C131" s="311">
        <f>'2. Прогноз. Без корректировки'!C36</f>
        <v>0.5</v>
      </c>
      <c r="D131" s="312">
        <f>'2. Прогноз. Без корректировки'!D36</f>
        <v>0.45</v>
      </c>
      <c r="E131" s="312">
        <f>'2. Прогноз. Без корректировки'!E36</f>
        <v>0.5</v>
      </c>
      <c r="F131" s="313">
        <f>'2. Прогноз. Без корректировки'!F36</f>
        <v>0.6</v>
      </c>
      <c r="G131" s="311">
        <f>'2. Прогноз. Без корректировки'!H36</f>
        <v>0.5</v>
      </c>
      <c r="H131" s="312">
        <f>'2. Прогноз. Без корректировки'!I36</f>
        <v>0.45</v>
      </c>
      <c r="I131" s="312">
        <f>'2. Прогноз. Без корректировки'!J36</f>
        <v>0.5</v>
      </c>
      <c r="J131" s="313">
        <f>'2. Прогноз. Без корректировки'!K36</f>
        <v>0.6</v>
      </c>
      <c r="K131" s="311">
        <f>'2. Прогноз. Без корректировки'!M36</f>
        <v>0.2</v>
      </c>
      <c r="L131" s="312">
        <f>'2. Прогноз. Без корректировки'!N36</f>
        <v>0.25</v>
      </c>
      <c r="M131" s="312">
        <f>'2. Прогноз. Без корректировки'!O36</f>
        <v>0.2</v>
      </c>
      <c r="N131" s="313">
        <f>'2. Прогноз. Без корректировки'!P36</f>
        <v>0.35</v>
      </c>
      <c r="O131" s="12"/>
      <c r="P131" s="12"/>
      <c r="Q131" s="12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</row>
    <row r="132" spans="1:49" x14ac:dyDescent="0.25">
      <c r="A132" s="336" t="s">
        <v>25</v>
      </c>
      <c r="B132" s="339" t="s">
        <v>102</v>
      </c>
      <c r="C132" s="308">
        <f t="shared" ref="C132:N132" si="94">SUM(C133:C135)</f>
        <v>4.74</v>
      </c>
      <c r="D132" s="309">
        <f t="shared" si="94"/>
        <v>4.74</v>
      </c>
      <c r="E132" s="309">
        <f t="shared" si="94"/>
        <v>4.75</v>
      </c>
      <c r="F132" s="310">
        <f t="shared" si="94"/>
        <v>4.7450000000000001</v>
      </c>
      <c r="G132" s="308">
        <f t="shared" si="94"/>
        <v>4.74</v>
      </c>
      <c r="H132" s="309">
        <f t="shared" si="94"/>
        <v>4.74</v>
      </c>
      <c r="I132" s="309">
        <f t="shared" si="94"/>
        <v>4.75</v>
      </c>
      <c r="J132" s="310">
        <f t="shared" si="94"/>
        <v>4.7450000000000001</v>
      </c>
      <c r="K132" s="308">
        <f t="shared" si="94"/>
        <v>4.74</v>
      </c>
      <c r="L132" s="309">
        <f t="shared" si="94"/>
        <v>4.74</v>
      </c>
      <c r="M132" s="309">
        <f t="shared" si="94"/>
        <v>4.75</v>
      </c>
      <c r="N132" s="310">
        <f t="shared" si="94"/>
        <v>4.7450000000000001</v>
      </c>
      <c r="O132" s="12"/>
      <c r="P132" s="12"/>
      <c r="Q132" s="12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</row>
    <row r="133" spans="1:49" x14ac:dyDescent="0.25">
      <c r="A133" s="333" t="s">
        <v>114</v>
      </c>
      <c r="B133" s="334" t="s">
        <v>102</v>
      </c>
      <c r="C133" s="311">
        <f>'2. Прогноз. Без корректировки'!C87</f>
        <v>4.7</v>
      </c>
      <c r="D133" s="312">
        <f>'2. Прогноз. Без корректировки'!D87</f>
        <v>4.7</v>
      </c>
      <c r="E133" s="312">
        <f>'2. Прогноз. Без корректировки'!E87</f>
        <v>4.7</v>
      </c>
      <c r="F133" s="313">
        <f>'2. Прогноз. Без корректировки'!F87</f>
        <v>4.7</v>
      </c>
      <c r="G133" s="311">
        <f>'2. Прогноз. Без корректировки'!H87</f>
        <v>4.7</v>
      </c>
      <c r="H133" s="312">
        <f>'2. Прогноз. Без корректировки'!I87</f>
        <v>4.7</v>
      </c>
      <c r="I133" s="312">
        <f>'2. Прогноз. Без корректировки'!J87</f>
        <v>4.7</v>
      </c>
      <c r="J133" s="313">
        <f>'2. Прогноз. Без корректировки'!K87</f>
        <v>4.7</v>
      </c>
      <c r="K133" s="311">
        <f>'2. Прогноз. Без корректировки'!M87</f>
        <v>4.7</v>
      </c>
      <c r="L133" s="312">
        <f>'2. Прогноз. Без корректировки'!N87</f>
        <v>4.7</v>
      </c>
      <c r="M133" s="312">
        <f>'2. Прогноз. Без корректировки'!O87</f>
        <v>4.7</v>
      </c>
      <c r="N133" s="313">
        <f>'2. Прогноз. Без корректировки'!P87</f>
        <v>4.7</v>
      </c>
      <c r="O133" s="12"/>
      <c r="P133" s="12"/>
      <c r="Q133" s="12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</row>
    <row r="134" spans="1:49" x14ac:dyDescent="0.25">
      <c r="A134" s="333" t="s">
        <v>89</v>
      </c>
      <c r="B134" s="340" t="s">
        <v>102</v>
      </c>
      <c r="C134" s="311">
        <f>'2. Прогноз. Без корректировки'!C90</f>
        <v>0.03</v>
      </c>
      <c r="D134" s="312">
        <f>'2. Прогноз. Без корректировки'!D90</f>
        <v>0.03</v>
      </c>
      <c r="E134" s="312">
        <f>'2. Прогноз. Без корректировки'!E90</f>
        <v>0.04</v>
      </c>
      <c r="F134" s="313">
        <f>'2. Прогноз. Без корректировки'!F90</f>
        <v>3.5000000000000003E-2</v>
      </c>
      <c r="G134" s="311">
        <f>'2. Прогноз. Без корректировки'!H90</f>
        <v>0.03</v>
      </c>
      <c r="H134" s="312">
        <f>'2. Прогноз. Без корректировки'!I90</f>
        <v>0.03</v>
      </c>
      <c r="I134" s="312">
        <f>'2. Прогноз. Без корректировки'!J90</f>
        <v>0.04</v>
      </c>
      <c r="J134" s="313">
        <f>'2. Прогноз. Без корректировки'!K90</f>
        <v>3.5000000000000003E-2</v>
      </c>
      <c r="K134" s="311">
        <f>'2. Прогноз. Без корректировки'!M90</f>
        <v>0.03</v>
      </c>
      <c r="L134" s="312">
        <f>'2. Прогноз. Без корректировки'!N90</f>
        <v>0.03</v>
      </c>
      <c r="M134" s="312">
        <f>'2. Прогноз. Без корректировки'!O90</f>
        <v>0.04</v>
      </c>
      <c r="N134" s="313">
        <f>'2. Прогноз. Без корректировки'!P90</f>
        <v>3.5000000000000003E-2</v>
      </c>
      <c r="O134" s="12"/>
      <c r="P134" s="12"/>
      <c r="Q134" s="12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</row>
    <row r="135" spans="1:49" x14ac:dyDescent="0.25">
      <c r="A135" s="333" t="s">
        <v>90</v>
      </c>
      <c r="B135" s="340" t="s">
        <v>102</v>
      </c>
      <c r="C135" s="311">
        <f>'2. Прогноз. Без корректировки'!C93</f>
        <v>0.01</v>
      </c>
      <c r="D135" s="312">
        <f>'2. Прогноз. Без корректировки'!D93</f>
        <v>0.01</v>
      </c>
      <c r="E135" s="312">
        <f>'2. Прогноз. Без корректировки'!E93</f>
        <v>0.01</v>
      </c>
      <c r="F135" s="313">
        <f>'2. Прогноз. Без корректировки'!F93</f>
        <v>0.01</v>
      </c>
      <c r="G135" s="311">
        <f>'2. Прогноз. Без корректировки'!H93</f>
        <v>0.01</v>
      </c>
      <c r="H135" s="312">
        <f>'2. Прогноз. Без корректировки'!I93</f>
        <v>0.01</v>
      </c>
      <c r="I135" s="312">
        <f>'2. Прогноз. Без корректировки'!J93</f>
        <v>0.01</v>
      </c>
      <c r="J135" s="313">
        <f>'2. Прогноз. Без корректировки'!K93</f>
        <v>0.01</v>
      </c>
      <c r="K135" s="311">
        <f>'2. Прогноз. Без корректировки'!M93</f>
        <v>0.01</v>
      </c>
      <c r="L135" s="312">
        <f>'2. Прогноз. Без корректировки'!N93</f>
        <v>0.01</v>
      </c>
      <c r="M135" s="312">
        <f>'2. Прогноз. Без корректировки'!O93</f>
        <v>0.01</v>
      </c>
      <c r="N135" s="313">
        <f>'2. Прогноз. Без корректировки'!P93</f>
        <v>0.01</v>
      </c>
      <c r="O135" s="12"/>
      <c r="P135" s="12"/>
      <c r="Q135" s="12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</row>
    <row r="136" spans="1:49" s="16" customFormat="1" x14ac:dyDescent="0.25">
      <c r="A136" s="336" t="s">
        <v>26</v>
      </c>
      <c r="B136" s="339" t="s">
        <v>102</v>
      </c>
      <c r="C136" s="308">
        <f t="shared" ref="C136:N136" si="95">SUM(C137:C139)</f>
        <v>4.7490000000000006</v>
      </c>
      <c r="D136" s="309">
        <f t="shared" si="95"/>
        <v>4.5339999999999998</v>
      </c>
      <c r="E136" s="309">
        <f t="shared" si="95"/>
        <v>4.4899999999999993</v>
      </c>
      <c r="F136" s="310">
        <f t="shared" si="95"/>
        <v>4.5540000000000003</v>
      </c>
      <c r="G136" s="308">
        <f t="shared" si="95"/>
        <v>4.7089999999999996</v>
      </c>
      <c r="H136" s="309">
        <f t="shared" si="95"/>
        <v>4.4990000000000006</v>
      </c>
      <c r="I136" s="309">
        <f t="shared" si="95"/>
        <v>4.4590000000000005</v>
      </c>
      <c r="J136" s="310">
        <f t="shared" si="95"/>
        <v>4.5269999999999992</v>
      </c>
      <c r="K136" s="308">
        <f t="shared" si="95"/>
        <v>4.6869999999999994</v>
      </c>
      <c r="L136" s="309">
        <f t="shared" si="95"/>
        <v>4.4820000000000002</v>
      </c>
      <c r="M136" s="309">
        <f t="shared" si="95"/>
        <v>4.4470000000000001</v>
      </c>
      <c r="N136" s="310">
        <f t="shared" si="95"/>
        <v>4.5190000000000001</v>
      </c>
      <c r="O136" s="152"/>
      <c r="P136" s="152"/>
      <c r="Q136" s="152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</row>
    <row r="137" spans="1:49" x14ac:dyDescent="0.25">
      <c r="A137" s="333" t="s">
        <v>114</v>
      </c>
      <c r="B137" s="334" t="s">
        <v>102</v>
      </c>
      <c r="C137" s="311">
        <f>'2. Прогноз. Без корректировки'!C111</f>
        <v>4.008</v>
      </c>
      <c r="D137" s="312">
        <f>'2. Прогноз. Без корректировки'!D111+C185</f>
        <v>3.9020000000000001</v>
      </c>
      <c r="E137" s="312">
        <f>'2. Прогноз. Без корректировки'!E111+D185</f>
        <v>3.855</v>
      </c>
      <c r="F137" s="313">
        <f>'2. Прогноз. Без корректировки'!F111+E185</f>
        <v>3.819</v>
      </c>
      <c r="G137" s="311">
        <f>'2. Прогноз. Без корректировки'!H111+F185</f>
        <v>4.0119999999999996</v>
      </c>
      <c r="H137" s="312">
        <f>'2. Прогноз. Без корректировки'!I111+G185</f>
        <v>3.911</v>
      </c>
      <c r="I137" s="312">
        <f>'2. Прогноз. Без корректировки'!J111+H185</f>
        <v>3.8679999999999999</v>
      </c>
      <c r="J137" s="313">
        <f>'2. Прогноз. Без корректировки'!K111+I185</f>
        <v>3.8359999999999999</v>
      </c>
      <c r="K137" s="311">
        <f>'2. Прогноз. Без корректировки'!M111+J185</f>
        <v>4.0339999999999998</v>
      </c>
      <c r="L137" s="312">
        <f>'2. Прогноз. Без корректировки'!N111+K185</f>
        <v>3.9369999999999998</v>
      </c>
      <c r="M137" s="312">
        <f>'2. Прогноз. Без корректировки'!O111+L185</f>
        <v>3.899</v>
      </c>
      <c r="N137" s="313">
        <f>'2. Прогноз. Без корректировки'!P111+M185</f>
        <v>3.871</v>
      </c>
      <c r="O137" s="12"/>
      <c r="P137" s="12"/>
      <c r="Q137" s="12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</row>
    <row r="138" spans="1:49" x14ac:dyDescent="0.25">
      <c r="A138" s="333" t="s">
        <v>89</v>
      </c>
      <c r="B138" s="334" t="s">
        <v>102</v>
      </c>
      <c r="C138" s="311">
        <f>'2. Прогноз. Без корректировки'!C112</f>
        <v>0.44</v>
      </c>
      <c r="D138" s="312">
        <f>'2. Прогноз. Без корректировки'!D112+C186</f>
        <v>0.46800000000000003</v>
      </c>
      <c r="E138" s="312">
        <f>'2. Прогноз. Без корректировки'!E112+D186</f>
        <v>0.47400000000000003</v>
      </c>
      <c r="F138" s="313">
        <f>'2. Прогноз. Без корректировки'!F112+E186</f>
        <v>0.47699999999999998</v>
      </c>
      <c r="G138" s="311">
        <f>'2. Прогноз. Без корректировки'!H112+F186</f>
        <v>0.44199999999999995</v>
      </c>
      <c r="H138" s="312">
        <f>'2. Прогноз. Без корректировки'!I112+G186</f>
        <v>0.47000000000000003</v>
      </c>
      <c r="I138" s="312">
        <f>'2. Прогноз. Без корректировки'!J112+H186</f>
        <v>0.47600000000000003</v>
      </c>
      <c r="J138" s="313">
        <f>'2. Прогноз. Без корректировки'!K112+I186</f>
        <v>0.47899999999999998</v>
      </c>
      <c r="K138" s="311">
        <f>'2. Прогноз. Без корректировки'!M112+J186</f>
        <v>0.44399999999999995</v>
      </c>
      <c r="L138" s="312">
        <f>'2. Прогноз. Без корректировки'!N112+K186</f>
        <v>0.47200000000000003</v>
      </c>
      <c r="M138" s="312">
        <f>'2. Прогноз. Без корректировки'!O112+L186</f>
        <v>0.47800000000000004</v>
      </c>
      <c r="N138" s="313">
        <f>'2. Прогноз. Без корректировки'!P112+M186</f>
        <v>0.48099999999999998</v>
      </c>
      <c r="O138" s="12"/>
      <c r="P138" s="12"/>
      <c r="Q138" s="12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</row>
    <row r="139" spans="1:49" x14ac:dyDescent="0.25">
      <c r="A139" s="333" t="s">
        <v>90</v>
      </c>
      <c r="B139" s="334" t="s">
        <v>102</v>
      </c>
      <c r="C139" s="311">
        <f>'2. Прогноз. Без корректировки'!C113</f>
        <v>0.30099999999999999</v>
      </c>
      <c r="D139" s="312">
        <f>'2. Прогноз. Без корректировки'!D113+C187</f>
        <v>0.16400000000000001</v>
      </c>
      <c r="E139" s="312">
        <f>'2. Прогноз. Без корректировки'!E113+D187</f>
        <v>0.161</v>
      </c>
      <c r="F139" s="313">
        <f>'2. Прогноз. Без корректировки'!F113+E187</f>
        <v>0.25800000000000001</v>
      </c>
      <c r="G139" s="311">
        <f>'2. Прогноз. Без корректировки'!H113+F187</f>
        <v>0.255</v>
      </c>
      <c r="H139" s="312">
        <f>'2. Прогноз. Без корректировки'!I113+G187</f>
        <v>0.11799999999999999</v>
      </c>
      <c r="I139" s="312">
        <f>'2. Прогноз. Без корректировки'!J113+H187</f>
        <v>0.115</v>
      </c>
      <c r="J139" s="313">
        <f>'2. Прогноз. Без корректировки'!K113+I187</f>
        <v>0.21199999999999999</v>
      </c>
      <c r="K139" s="311">
        <f>'2. Прогноз. Без корректировки'!M113+J187</f>
        <v>0.20899999999999999</v>
      </c>
      <c r="L139" s="312">
        <f>'2. Прогноз. Без корректировки'!N113+K187</f>
        <v>7.2999999999999995E-2</v>
      </c>
      <c r="M139" s="312">
        <f>'2. Прогноз. Без корректировки'!O113+L187</f>
        <v>7.0000000000000007E-2</v>
      </c>
      <c r="N139" s="313">
        <f>'2. Прогноз. Без корректировки'!P113+M187</f>
        <v>0.16700000000000001</v>
      </c>
      <c r="O139" s="12"/>
      <c r="P139" s="12"/>
      <c r="Q139" s="12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spans="1:49" ht="28.5" x14ac:dyDescent="0.25">
      <c r="A140" s="341" t="s">
        <v>27</v>
      </c>
      <c r="B140" s="339" t="s">
        <v>102</v>
      </c>
      <c r="C140" s="308">
        <f t="shared" ref="C140:N140" si="96">SUM(C141:C143)</f>
        <v>3.363</v>
      </c>
      <c r="D140" s="309">
        <f t="shared" si="96"/>
        <v>3.3180000000000001</v>
      </c>
      <c r="E140" s="309">
        <f t="shared" si="96"/>
        <v>3.2709999999999999</v>
      </c>
      <c r="F140" s="310">
        <f t="shared" si="96"/>
        <v>3.476</v>
      </c>
      <c r="G140" s="308">
        <f t="shared" si="96"/>
        <v>3.363</v>
      </c>
      <c r="H140" s="309">
        <f t="shared" si="96"/>
        <v>3.3180000000000001</v>
      </c>
      <c r="I140" s="309">
        <f t="shared" si="96"/>
        <v>3.2709999999999999</v>
      </c>
      <c r="J140" s="310">
        <f t="shared" si="96"/>
        <v>3.476</v>
      </c>
      <c r="K140" s="308">
        <f t="shared" si="96"/>
        <v>3.363</v>
      </c>
      <c r="L140" s="309">
        <f t="shared" si="96"/>
        <v>3.3180000000000001</v>
      </c>
      <c r="M140" s="309">
        <f t="shared" si="96"/>
        <v>3.2709999999999999</v>
      </c>
      <c r="N140" s="310">
        <f t="shared" si="96"/>
        <v>3.476</v>
      </c>
      <c r="O140" s="12"/>
      <c r="P140" s="12"/>
      <c r="Q140" s="12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</row>
    <row r="141" spans="1:49" x14ac:dyDescent="0.25">
      <c r="A141" s="333" t="s">
        <v>114</v>
      </c>
      <c r="B141" s="334" t="s">
        <v>102</v>
      </c>
      <c r="C141" s="311">
        <f t="shared" ref="C141:F143" si="97">(MIN(D88,I88,N88,S88,X88,AC88,AH88))</f>
        <v>2.9</v>
      </c>
      <c r="D141" s="312">
        <f t="shared" si="97"/>
        <v>2.85</v>
      </c>
      <c r="E141" s="312">
        <f t="shared" si="97"/>
        <v>2.8</v>
      </c>
      <c r="F141" s="313">
        <f t="shared" si="97"/>
        <v>3</v>
      </c>
      <c r="G141" s="311">
        <f t="shared" ref="G141:J143" si="98">(MIN(D88,I88,N88,S88,X88,AC88,AH88))</f>
        <v>2.9</v>
      </c>
      <c r="H141" s="312">
        <f t="shared" si="98"/>
        <v>2.85</v>
      </c>
      <c r="I141" s="312">
        <f t="shared" si="98"/>
        <v>2.8</v>
      </c>
      <c r="J141" s="313">
        <f t="shared" si="98"/>
        <v>3</v>
      </c>
      <c r="K141" s="311">
        <f t="shared" ref="K141:N143" si="99">(MIN(D88,I88,N88,S88,X88,AC88,AH88))</f>
        <v>2.9</v>
      </c>
      <c r="L141" s="312">
        <f t="shared" si="99"/>
        <v>2.85</v>
      </c>
      <c r="M141" s="312">
        <f t="shared" si="99"/>
        <v>2.8</v>
      </c>
      <c r="N141" s="313">
        <f t="shared" si="99"/>
        <v>3</v>
      </c>
      <c r="O141" s="12"/>
      <c r="P141" s="12"/>
      <c r="Q141" s="12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</row>
    <row r="142" spans="1:49" x14ac:dyDescent="0.25">
      <c r="A142" s="333" t="s">
        <v>89</v>
      </c>
      <c r="B142" s="334" t="s">
        <v>102</v>
      </c>
      <c r="C142" s="311">
        <f t="shared" si="97"/>
        <v>0.46300000000000002</v>
      </c>
      <c r="D142" s="312">
        <f t="shared" si="97"/>
        <v>0.46800000000000003</v>
      </c>
      <c r="E142" s="312">
        <f t="shared" si="97"/>
        <v>0.47099999999999997</v>
      </c>
      <c r="F142" s="313">
        <f t="shared" si="97"/>
        <v>0.47599999999999998</v>
      </c>
      <c r="G142" s="311">
        <f t="shared" si="98"/>
        <v>0.46300000000000002</v>
      </c>
      <c r="H142" s="312">
        <f t="shared" si="98"/>
        <v>0.46800000000000003</v>
      </c>
      <c r="I142" s="312">
        <f t="shared" si="98"/>
        <v>0.47099999999999997</v>
      </c>
      <c r="J142" s="313">
        <f t="shared" si="98"/>
        <v>0.47599999999999998</v>
      </c>
      <c r="K142" s="311">
        <f t="shared" si="99"/>
        <v>0.46300000000000002</v>
      </c>
      <c r="L142" s="312">
        <f t="shared" si="99"/>
        <v>0.46800000000000003</v>
      </c>
      <c r="M142" s="312">
        <f t="shared" si="99"/>
        <v>0.47099999999999997</v>
      </c>
      <c r="N142" s="313">
        <f t="shared" si="99"/>
        <v>0.47599999999999998</v>
      </c>
      <c r="O142" s="12"/>
      <c r="P142" s="12"/>
      <c r="Q142" s="12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spans="1:49" x14ac:dyDescent="0.25">
      <c r="A143" s="333" t="s">
        <v>90</v>
      </c>
      <c r="B143" s="334" t="s">
        <v>102</v>
      </c>
      <c r="C143" s="311">
        <f t="shared" si="97"/>
        <v>0</v>
      </c>
      <c r="D143" s="312">
        <f t="shared" si="97"/>
        <v>0</v>
      </c>
      <c r="E143" s="312">
        <f t="shared" si="97"/>
        <v>0</v>
      </c>
      <c r="F143" s="313">
        <f t="shared" si="97"/>
        <v>0</v>
      </c>
      <c r="G143" s="311">
        <f t="shared" si="98"/>
        <v>0</v>
      </c>
      <c r="H143" s="312">
        <f t="shared" si="98"/>
        <v>0</v>
      </c>
      <c r="I143" s="312">
        <f t="shared" si="98"/>
        <v>0</v>
      </c>
      <c r="J143" s="313">
        <f t="shared" si="98"/>
        <v>0</v>
      </c>
      <c r="K143" s="311">
        <f t="shared" si="99"/>
        <v>0</v>
      </c>
      <c r="L143" s="312">
        <f t="shared" si="99"/>
        <v>0</v>
      </c>
      <c r="M143" s="312">
        <f t="shared" si="99"/>
        <v>0</v>
      </c>
      <c r="N143" s="313">
        <f t="shared" si="99"/>
        <v>0</v>
      </c>
      <c r="O143" s="12"/>
      <c r="P143" s="12"/>
      <c r="Q143" s="12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</row>
    <row r="144" spans="1:49" x14ac:dyDescent="0.25">
      <c r="A144" s="357" t="s">
        <v>28</v>
      </c>
      <c r="B144" s="358"/>
      <c r="C144" s="306"/>
      <c r="D144" s="306"/>
      <c r="E144" s="306"/>
      <c r="F144" s="306"/>
      <c r="G144" s="359"/>
      <c r="H144" s="306"/>
      <c r="I144" s="306"/>
      <c r="J144" s="306"/>
      <c r="K144" s="359"/>
      <c r="L144" s="306"/>
      <c r="M144" s="306"/>
      <c r="N144" s="307"/>
      <c r="O144" s="12"/>
      <c r="P144" s="12"/>
      <c r="Q144" s="12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ht="57" x14ac:dyDescent="0.25">
      <c r="A145" s="364" t="s">
        <v>29</v>
      </c>
      <c r="B145" s="360" t="s">
        <v>102</v>
      </c>
      <c r="C145" s="361">
        <f t="shared" ref="C145:N145" si="100">SUM(C146:C148)</f>
        <v>2.300000000000002E-2</v>
      </c>
      <c r="D145" s="362">
        <f t="shared" si="100"/>
        <v>0</v>
      </c>
      <c r="E145" s="362">
        <f t="shared" si="100"/>
        <v>0</v>
      </c>
      <c r="F145" s="363">
        <f t="shared" si="100"/>
        <v>0</v>
      </c>
      <c r="G145" s="361">
        <f t="shared" si="100"/>
        <v>2.1000000000000074E-2</v>
      </c>
      <c r="H145" s="362">
        <f t="shared" si="100"/>
        <v>0</v>
      </c>
      <c r="I145" s="362">
        <f t="shared" si="100"/>
        <v>0</v>
      </c>
      <c r="J145" s="363">
        <f t="shared" si="100"/>
        <v>0</v>
      </c>
      <c r="K145" s="361">
        <f t="shared" si="100"/>
        <v>1.9000000000000072E-2</v>
      </c>
      <c r="L145" s="362">
        <f t="shared" si="100"/>
        <v>0</v>
      </c>
      <c r="M145" s="362">
        <f t="shared" si="100"/>
        <v>0</v>
      </c>
      <c r="N145" s="363">
        <f t="shared" si="100"/>
        <v>0</v>
      </c>
      <c r="O145" s="12"/>
      <c r="P145" s="12"/>
      <c r="Q145" s="12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x14ac:dyDescent="0.25">
      <c r="A146" s="333" t="s">
        <v>114</v>
      </c>
      <c r="B146" s="334" t="s">
        <v>102</v>
      </c>
      <c r="C146" s="311">
        <f t="shared" ref="C146:N146" si="101">IF(C137&lt;C141,-(C137-C141),0)</f>
        <v>0</v>
      </c>
      <c r="D146" s="312">
        <f t="shared" si="101"/>
        <v>0</v>
      </c>
      <c r="E146" s="312">
        <f t="shared" si="101"/>
        <v>0</v>
      </c>
      <c r="F146" s="313">
        <f t="shared" si="101"/>
        <v>0</v>
      </c>
      <c r="G146" s="311">
        <f t="shared" si="101"/>
        <v>0</v>
      </c>
      <c r="H146" s="312">
        <f t="shared" si="101"/>
        <v>0</v>
      </c>
      <c r="I146" s="312">
        <f t="shared" si="101"/>
        <v>0</v>
      </c>
      <c r="J146" s="313">
        <f t="shared" si="101"/>
        <v>0</v>
      </c>
      <c r="K146" s="311">
        <f t="shared" si="101"/>
        <v>0</v>
      </c>
      <c r="L146" s="312">
        <f t="shared" si="101"/>
        <v>0</v>
      </c>
      <c r="M146" s="312">
        <f t="shared" si="101"/>
        <v>0</v>
      </c>
      <c r="N146" s="313">
        <f t="shared" si="101"/>
        <v>0</v>
      </c>
      <c r="O146" s="12"/>
      <c r="P146" s="12"/>
      <c r="Q146" s="12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x14ac:dyDescent="0.25">
      <c r="A147" s="333" t="s">
        <v>89</v>
      </c>
      <c r="B147" s="334" t="s">
        <v>102</v>
      </c>
      <c r="C147" s="311">
        <f t="shared" ref="C147:N147" si="102">IF(C138&lt;C142,-(C138-C142),0)</f>
        <v>2.300000000000002E-2</v>
      </c>
      <c r="D147" s="312">
        <f t="shared" si="102"/>
        <v>0</v>
      </c>
      <c r="E147" s="312">
        <f t="shared" si="102"/>
        <v>0</v>
      </c>
      <c r="F147" s="313">
        <f t="shared" si="102"/>
        <v>0</v>
      </c>
      <c r="G147" s="311">
        <f t="shared" si="102"/>
        <v>2.1000000000000074E-2</v>
      </c>
      <c r="H147" s="312">
        <f t="shared" si="102"/>
        <v>0</v>
      </c>
      <c r="I147" s="312">
        <f t="shared" si="102"/>
        <v>0</v>
      </c>
      <c r="J147" s="313">
        <f t="shared" si="102"/>
        <v>0</v>
      </c>
      <c r="K147" s="311">
        <f t="shared" si="102"/>
        <v>1.9000000000000072E-2</v>
      </c>
      <c r="L147" s="312">
        <f t="shared" si="102"/>
        <v>0</v>
      </c>
      <c r="M147" s="312">
        <f t="shared" si="102"/>
        <v>0</v>
      </c>
      <c r="N147" s="313">
        <f t="shared" si="102"/>
        <v>0</v>
      </c>
      <c r="O147" s="12"/>
      <c r="P147" s="12"/>
      <c r="Q147" s="12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x14ac:dyDescent="0.25">
      <c r="A148" s="333" t="s">
        <v>90</v>
      </c>
      <c r="B148" s="334" t="s">
        <v>102</v>
      </c>
      <c r="C148" s="311">
        <f t="shared" ref="C148:N148" si="103">IF(C139&lt;C143,-(C139-C143),0)</f>
        <v>0</v>
      </c>
      <c r="D148" s="312">
        <f t="shared" si="103"/>
        <v>0</v>
      </c>
      <c r="E148" s="312">
        <f t="shared" si="103"/>
        <v>0</v>
      </c>
      <c r="F148" s="313">
        <f t="shared" si="103"/>
        <v>0</v>
      </c>
      <c r="G148" s="311">
        <f t="shared" si="103"/>
        <v>0</v>
      </c>
      <c r="H148" s="312">
        <f t="shared" si="103"/>
        <v>0</v>
      </c>
      <c r="I148" s="312">
        <f t="shared" si="103"/>
        <v>0</v>
      </c>
      <c r="J148" s="313">
        <f t="shared" si="103"/>
        <v>0</v>
      </c>
      <c r="K148" s="311">
        <f t="shared" si="103"/>
        <v>0</v>
      </c>
      <c r="L148" s="312">
        <f t="shared" si="103"/>
        <v>0</v>
      </c>
      <c r="M148" s="312">
        <f t="shared" si="103"/>
        <v>0</v>
      </c>
      <c r="N148" s="313">
        <f t="shared" si="103"/>
        <v>0</v>
      </c>
      <c r="O148" s="12"/>
      <c r="P148" s="12"/>
      <c r="Q148" s="12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ht="28.5" x14ac:dyDescent="0.25">
      <c r="A149" s="366" t="s">
        <v>30</v>
      </c>
      <c r="B149" s="358"/>
      <c r="C149" s="359"/>
      <c r="D149" s="359"/>
      <c r="E149" s="359"/>
      <c r="F149" s="359"/>
      <c r="G149" s="359"/>
      <c r="H149" s="359"/>
      <c r="I149" s="359"/>
      <c r="J149" s="359"/>
      <c r="K149" s="359"/>
      <c r="L149" s="359"/>
      <c r="M149" s="359"/>
      <c r="N149" s="367"/>
      <c r="O149" s="12"/>
      <c r="P149" s="12"/>
      <c r="Q149" s="12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ht="42.75" x14ac:dyDescent="0.25">
      <c r="A150" s="365" t="s">
        <v>31</v>
      </c>
      <c r="B150" s="360" t="s">
        <v>102</v>
      </c>
      <c r="C150" s="361">
        <f>SUM(C151:C153)</f>
        <v>1.409</v>
      </c>
      <c r="D150" s="362">
        <f t="shared" ref="D150:N150" si="104">SUM(D151:D153)</f>
        <v>1.216</v>
      </c>
      <c r="E150" s="362">
        <f t="shared" si="104"/>
        <v>1.2190000000000003</v>
      </c>
      <c r="F150" s="363">
        <f t="shared" si="104"/>
        <v>1.0779999999999998</v>
      </c>
      <c r="G150" s="361">
        <f t="shared" si="104"/>
        <v>1.3669999999999995</v>
      </c>
      <c r="H150" s="362">
        <f t="shared" si="104"/>
        <v>1.181</v>
      </c>
      <c r="I150" s="362">
        <f t="shared" si="104"/>
        <v>1.1880000000000002</v>
      </c>
      <c r="J150" s="363">
        <f t="shared" si="104"/>
        <v>1.0509999999999999</v>
      </c>
      <c r="K150" s="361">
        <f t="shared" si="104"/>
        <v>1.343</v>
      </c>
      <c r="L150" s="362">
        <f t="shared" si="104"/>
        <v>1.1639999999999997</v>
      </c>
      <c r="M150" s="362">
        <f t="shared" si="104"/>
        <v>1.1760000000000004</v>
      </c>
      <c r="N150" s="363">
        <f t="shared" si="104"/>
        <v>1.0429999999999999</v>
      </c>
      <c r="O150" s="12"/>
      <c r="P150" s="12"/>
      <c r="Q150" s="12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s="11" customFormat="1" x14ac:dyDescent="0.25">
      <c r="A151" s="344" t="s">
        <v>114</v>
      </c>
      <c r="B151" s="334" t="s">
        <v>102</v>
      </c>
      <c r="C151" s="311">
        <f t="shared" ref="C151:N151" si="105">IF(C137&gt;C141,C137-C141,0)</f>
        <v>1.1080000000000001</v>
      </c>
      <c r="D151" s="312">
        <f t="shared" si="105"/>
        <v>1.052</v>
      </c>
      <c r="E151" s="312">
        <f t="shared" si="105"/>
        <v>1.0550000000000002</v>
      </c>
      <c r="F151" s="313">
        <f t="shared" si="105"/>
        <v>0.81899999999999995</v>
      </c>
      <c r="G151" s="311">
        <f t="shared" si="105"/>
        <v>1.1119999999999997</v>
      </c>
      <c r="H151" s="312">
        <f t="shared" si="105"/>
        <v>1.0609999999999999</v>
      </c>
      <c r="I151" s="312">
        <f t="shared" si="105"/>
        <v>1.0680000000000001</v>
      </c>
      <c r="J151" s="313">
        <f t="shared" si="105"/>
        <v>0.83599999999999985</v>
      </c>
      <c r="K151" s="311">
        <f t="shared" si="105"/>
        <v>1.1339999999999999</v>
      </c>
      <c r="L151" s="312">
        <f t="shared" si="105"/>
        <v>1.0869999999999997</v>
      </c>
      <c r="M151" s="312">
        <f t="shared" si="105"/>
        <v>1.0990000000000002</v>
      </c>
      <c r="N151" s="313">
        <f t="shared" si="105"/>
        <v>0.871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</row>
    <row r="152" spans="1:49" s="11" customFormat="1" x14ac:dyDescent="0.25">
      <c r="A152" s="344" t="s">
        <v>89</v>
      </c>
      <c r="B152" s="334" t="s">
        <v>102</v>
      </c>
      <c r="C152" s="311">
        <f t="shared" ref="C152:N152" si="106">IF(C138&gt;C142,C138-C142,0)</f>
        <v>0</v>
      </c>
      <c r="D152" s="312">
        <f t="shared" si="106"/>
        <v>0</v>
      </c>
      <c r="E152" s="312">
        <f t="shared" si="106"/>
        <v>3.0000000000000582E-3</v>
      </c>
      <c r="F152" s="313">
        <f t="shared" si="106"/>
        <v>1.0000000000000009E-3</v>
      </c>
      <c r="G152" s="311">
        <f t="shared" si="106"/>
        <v>0</v>
      </c>
      <c r="H152" s="312">
        <f t="shared" si="106"/>
        <v>2.0000000000000018E-3</v>
      </c>
      <c r="I152" s="312">
        <f t="shared" si="106"/>
        <v>5.00000000000006E-3</v>
      </c>
      <c r="J152" s="313">
        <f t="shared" si="106"/>
        <v>3.0000000000000027E-3</v>
      </c>
      <c r="K152" s="311">
        <f t="shared" si="106"/>
        <v>0</v>
      </c>
      <c r="L152" s="312">
        <f t="shared" si="106"/>
        <v>4.0000000000000036E-3</v>
      </c>
      <c r="M152" s="312">
        <f t="shared" si="106"/>
        <v>7.0000000000000617E-3</v>
      </c>
      <c r="N152" s="313">
        <f t="shared" si="106"/>
        <v>5.0000000000000044E-3</v>
      </c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</row>
    <row r="153" spans="1:49" s="11" customFormat="1" x14ac:dyDescent="0.25">
      <c r="A153" s="344" t="s">
        <v>90</v>
      </c>
      <c r="B153" s="334" t="s">
        <v>102</v>
      </c>
      <c r="C153" s="311">
        <f t="shared" ref="C153:N153" si="107">IF(C139&gt;C143,C139-C143,0)</f>
        <v>0.30099999999999999</v>
      </c>
      <c r="D153" s="312">
        <f t="shared" si="107"/>
        <v>0.16400000000000001</v>
      </c>
      <c r="E153" s="312">
        <f t="shared" si="107"/>
        <v>0.161</v>
      </c>
      <c r="F153" s="313">
        <f t="shared" si="107"/>
        <v>0.25800000000000001</v>
      </c>
      <c r="G153" s="311">
        <f t="shared" si="107"/>
        <v>0.255</v>
      </c>
      <c r="H153" s="312">
        <f t="shared" si="107"/>
        <v>0.11799999999999999</v>
      </c>
      <c r="I153" s="312">
        <f t="shared" si="107"/>
        <v>0.115</v>
      </c>
      <c r="J153" s="313">
        <f t="shared" si="107"/>
        <v>0.21199999999999999</v>
      </c>
      <c r="K153" s="311">
        <f t="shared" si="107"/>
        <v>0.20899999999999999</v>
      </c>
      <c r="L153" s="312">
        <f t="shared" si="107"/>
        <v>7.2999999999999995E-2</v>
      </c>
      <c r="M153" s="312">
        <f t="shared" si="107"/>
        <v>7.0000000000000007E-2</v>
      </c>
      <c r="N153" s="313">
        <f t="shared" si="107"/>
        <v>0.16700000000000001</v>
      </c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</row>
    <row r="154" spans="1:49" x14ac:dyDescent="0.25">
      <c r="A154" s="343" t="s">
        <v>32</v>
      </c>
      <c r="B154" s="338" t="s">
        <v>102</v>
      </c>
      <c r="C154" s="308">
        <f t="shared" ref="C154:N154" si="108">SUM(C155:C157)</f>
        <v>0</v>
      </c>
      <c r="D154" s="309">
        <f t="shared" si="108"/>
        <v>0</v>
      </c>
      <c r="E154" s="309">
        <f t="shared" si="108"/>
        <v>-3.0000000000000582E-3</v>
      </c>
      <c r="F154" s="310">
        <f t="shared" si="108"/>
        <v>-1.0000000000000009E-3</v>
      </c>
      <c r="G154" s="308">
        <f t="shared" si="108"/>
        <v>0</v>
      </c>
      <c r="H154" s="309">
        <f t="shared" si="108"/>
        <v>-2.0000000000000018E-3</v>
      </c>
      <c r="I154" s="309">
        <f t="shared" si="108"/>
        <v>-5.00000000000006E-3</v>
      </c>
      <c r="J154" s="310">
        <f t="shared" si="108"/>
        <v>-3.0000000000000027E-3</v>
      </c>
      <c r="K154" s="308">
        <f t="shared" si="108"/>
        <v>0</v>
      </c>
      <c r="L154" s="309">
        <f t="shared" si="108"/>
        <v>-4.0000000000000036E-3</v>
      </c>
      <c r="M154" s="309">
        <f t="shared" si="108"/>
        <v>-5.4999999999996163E-3</v>
      </c>
      <c r="N154" s="310">
        <f t="shared" si="108"/>
        <v>0</v>
      </c>
      <c r="O154" s="12"/>
      <c r="P154" s="12"/>
      <c r="Q154" s="12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s="11" customFormat="1" x14ac:dyDescent="0.25">
      <c r="A155" s="344" t="s">
        <v>114</v>
      </c>
      <c r="B155" s="334" t="s">
        <v>102</v>
      </c>
      <c r="C155" s="311">
        <f>-MIN(C129,C151,0)</f>
        <v>0</v>
      </c>
      <c r="D155" s="312">
        <f t="shared" ref="D155:F157" si="109">-MIN(D129,D151,C177)</f>
        <v>0</v>
      </c>
      <c r="E155" s="312">
        <f t="shared" si="109"/>
        <v>0</v>
      </c>
      <c r="F155" s="313">
        <f t="shared" si="109"/>
        <v>0</v>
      </c>
      <c r="G155" s="311">
        <f>-MIN(G129,G151,0)</f>
        <v>0</v>
      </c>
      <c r="H155" s="312">
        <f t="shared" ref="H155:J157" si="110">-MIN(H129,H151,G177)</f>
        <v>0</v>
      </c>
      <c r="I155" s="312">
        <f t="shared" si="110"/>
        <v>0</v>
      </c>
      <c r="J155" s="313">
        <f t="shared" si="110"/>
        <v>0</v>
      </c>
      <c r="K155" s="311">
        <f>-MIN(K129,K151,0)</f>
        <v>0</v>
      </c>
      <c r="L155" s="312">
        <f t="shared" ref="L155:N157" si="111">-MIN(L129,L151,K177)</f>
        <v>0</v>
      </c>
      <c r="M155" s="312">
        <f t="shared" si="111"/>
        <v>0</v>
      </c>
      <c r="N155" s="313">
        <f t="shared" si="111"/>
        <v>0</v>
      </c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</row>
    <row r="156" spans="1:49" s="11" customFormat="1" x14ac:dyDescent="0.25">
      <c r="A156" s="344" t="s">
        <v>89</v>
      </c>
      <c r="B156" s="334" t="s">
        <v>102</v>
      </c>
      <c r="C156" s="311">
        <f>-MIN(C130,C152,0)</f>
        <v>0</v>
      </c>
      <c r="D156" s="312">
        <f t="shared" si="109"/>
        <v>0</v>
      </c>
      <c r="E156" s="312">
        <f t="shared" si="109"/>
        <v>-3.0000000000000582E-3</v>
      </c>
      <c r="F156" s="313">
        <f t="shared" si="109"/>
        <v>-1.0000000000000009E-3</v>
      </c>
      <c r="G156" s="311">
        <f>-MIN(G130,G152,0)</f>
        <v>0</v>
      </c>
      <c r="H156" s="312">
        <f t="shared" si="110"/>
        <v>-2.0000000000000018E-3</v>
      </c>
      <c r="I156" s="312">
        <f t="shared" si="110"/>
        <v>-5.00000000000006E-3</v>
      </c>
      <c r="J156" s="313">
        <f t="shared" si="110"/>
        <v>-3.0000000000000027E-3</v>
      </c>
      <c r="K156" s="311">
        <f>-MIN(K130,K152,0)</f>
        <v>0</v>
      </c>
      <c r="L156" s="312">
        <f t="shared" si="111"/>
        <v>-4.0000000000000036E-3</v>
      </c>
      <c r="M156" s="312">
        <f t="shared" si="111"/>
        <v>-5.4999999999996163E-3</v>
      </c>
      <c r="N156" s="313">
        <f t="shared" si="111"/>
        <v>0</v>
      </c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</row>
    <row r="157" spans="1:49" s="11" customFormat="1" x14ac:dyDescent="0.25">
      <c r="A157" s="344" t="s">
        <v>90</v>
      </c>
      <c r="B157" s="334" t="s">
        <v>102</v>
      </c>
      <c r="C157" s="311">
        <f>-MIN(C131,C153,0)</f>
        <v>0</v>
      </c>
      <c r="D157" s="312">
        <f t="shared" si="109"/>
        <v>0</v>
      </c>
      <c r="E157" s="312">
        <f t="shared" si="109"/>
        <v>0</v>
      </c>
      <c r="F157" s="313">
        <f t="shared" si="109"/>
        <v>0</v>
      </c>
      <c r="G157" s="311">
        <f>-MIN(G131,G153,0)</f>
        <v>0</v>
      </c>
      <c r="H157" s="312">
        <f t="shared" si="110"/>
        <v>0</v>
      </c>
      <c r="I157" s="312">
        <f t="shared" si="110"/>
        <v>0</v>
      </c>
      <c r="J157" s="313">
        <f t="shared" si="110"/>
        <v>0</v>
      </c>
      <c r="K157" s="311">
        <f>-MIN(K131,K153,0)</f>
        <v>0</v>
      </c>
      <c r="L157" s="312">
        <f t="shared" si="111"/>
        <v>0</v>
      </c>
      <c r="M157" s="312">
        <f t="shared" si="111"/>
        <v>0</v>
      </c>
      <c r="N157" s="313">
        <f t="shared" si="111"/>
        <v>0</v>
      </c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</row>
    <row r="158" spans="1:49" x14ac:dyDescent="0.25">
      <c r="A158" s="343" t="s">
        <v>33</v>
      </c>
      <c r="B158" s="338" t="s">
        <v>102</v>
      </c>
      <c r="C158" s="308">
        <f t="shared" ref="C158:N158" si="112">SUM(C159:C161)</f>
        <v>0</v>
      </c>
      <c r="D158" s="309">
        <f t="shared" si="112"/>
        <v>0</v>
      </c>
      <c r="E158" s="309">
        <f t="shared" si="112"/>
        <v>0</v>
      </c>
      <c r="F158" s="310">
        <f t="shared" si="112"/>
        <v>0</v>
      </c>
      <c r="G158" s="308">
        <f t="shared" si="112"/>
        <v>0</v>
      </c>
      <c r="H158" s="309">
        <f t="shared" si="112"/>
        <v>0</v>
      </c>
      <c r="I158" s="309">
        <f t="shared" si="112"/>
        <v>0</v>
      </c>
      <c r="J158" s="310">
        <f t="shared" si="112"/>
        <v>0</v>
      </c>
      <c r="K158" s="308">
        <f t="shared" si="112"/>
        <v>0</v>
      </c>
      <c r="L158" s="309">
        <f t="shared" si="112"/>
        <v>0</v>
      </c>
      <c r="M158" s="309">
        <f t="shared" si="112"/>
        <v>1.5000000000004454E-3</v>
      </c>
      <c r="N158" s="310">
        <f t="shared" si="112"/>
        <v>5.0000000000000044E-3</v>
      </c>
      <c r="O158" s="12"/>
      <c r="P158" s="12"/>
      <c r="Q158" s="12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s="11" customFormat="1" x14ac:dyDescent="0.25">
      <c r="A159" s="344" t="s">
        <v>114</v>
      </c>
      <c r="B159" s="334" t="s">
        <v>102</v>
      </c>
      <c r="C159" s="311">
        <f>MIN(C151+C155,0)</f>
        <v>0</v>
      </c>
      <c r="D159" s="312">
        <f t="shared" ref="D159:F161" si="113">MIN(D151+D155,-C181)</f>
        <v>0</v>
      </c>
      <c r="E159" s="312">
        <f t="shared" si="113"/>
        <v>0</v>
      </c>
      <c r="F159" s="313">
        <f t="shared" si="113"/>
        <v>0</v>
      </c>
      <c r="G159" s="311">
        <f>MIN(G151+G155,0)</f>
        <v>0</v>
      </c>
      <c r="H159" s="312">
        <f t="shared" ref="H159:J161" si="114">MIN(H151+H155,-G181)</f>
        <v>0</v>
      </c>
      <c r="I159" s="312">
        <f t="shared" si="114"/>
        <v>0</v>
      </c>
      <c r="J159" s="313">
        <f t="shared" si="114"/>
        <v>0</v>
      </c>
      <c r="K159" s="311">
        <f>MIN(K151+K155,0)</f>
        <v>0</v>
      </c>
      <c r="L159" s="312">
        <f t="shared" ref="L159:N161" si="115">MIN(L151+L155,-K181)</f>
        <v>0</v>
      </c>
      <c r="M159" s="312">
        <f t="shared" si="115"/>
        <v>0</v>
      </c>
      <c r="N159" s="313">
        <f t="shared" si="115"/>
        <v>0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</row>
    <row r="160" spans="1:49" s="11" customFormat="1" x14ac:dyDescent="0.25">
      <c r="A160" s="344" t="s">
        <v>89</v>
      </c>
      <c r="B160" s="334" t="s">
        <v>102</v>
      </c>
      <c r="C160" s="311">
        <f>MIN(C152+C156,0)</f>
        <v>0</v>
      </c>
      <c r="D160" s="312">
        <f t="shared" si="113"/>
        <v>0</v>
      </c>
      <c r="E160" s="312">
        <f t="shared" si="113"/>
        <v>0</v>
      </c>
      <c r="F160" s="313">
        <f t="shared" si="113"/>
        <v>0</v>
      </c>
      <c r="G160" s="311">
        <f>MIN(G152+G156,0)</f>
        <v>0</v>
      </c>
      <c r="H160" s="312">
        <f t="shared" si="114"/>
        <v>0</v>
      </c>
      <c r="I160" s="312">
        <f t="shared" si="114"/>
        <v>0</v>
      </c>
      <c r="J160" s="313">
        <f t="shared" si="114"/>
        <v>0</v>
      </c>
      <c r="K160" s="311">
        <f>MIN(K152+K156,0)</f>
        <v>0</v>
      </c>
      <c r="L160" s="312">
        <f t="shared" si="115"/>
        <v>0</v>
      </c>
      <c r="M160" s="312">
        <f t="shared" si="115"/>
        <v>1.5000000000004454E-3</v>
      </c>
      <c r="N160" s="313">
        <f t="shared" si="115"/>
        <v>5.0000000000000044E-3</v>
      </c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</row>
    <row r="161" spans="1:49" s="11" customFormat="1" x14ac:dyDescent="0.25">
      <c r="A161" s="344" t="s">
        <v>90</v>
      </c>
      <c r="B161" s="334" t="s">
        <v>102</v>
      </c>
      <c r="C161" s="311">
        <f>MIN(C153+C157,0)</f>
        <v>0</v>
      </c>
      <c r="D161" s="312">
        <f t="shared" si="113"/>
        <v>0</v>
      </c>
      <c r="E161" s="312">
        <f t="shared" si="113"/>
        <v>0</v>
      </c>
      <c r="F161" s="313">
        <f t="shared" si="113"/>
        <v>0</v>
      </c>
      <c r="G161" s="311">
        <f>MIN(G153+G157,0)</f>
        <v>0</v>
      </c>
      <c r="H161" s="312">
        <f t="shared" si="114"/>
        <v>0</v>
      </c>
      <c r="I161" s="312">
        <f t="shared" si="114"/>
        <v>0</v>
      </c>
      <c r="J161" s="313">
        <f t="shared" si="114"/>
        <v>0</v>
      </c>
      <c r="K161" s="311">
        <f>MIN(K153+K157,0)</f>
        <v>0</v>
      </c>
      <c r="L161" s="312">
        <f t="shared" si="115"/>
        <v>0</v>
      </c>
      <c r="M161" s="312">
        <f t="shared" si="115"/>
        <v>0</v>
      </c>
      <c r="N161" s="313">
        <f t="shared" si="115"/>
        <v>0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</row>
    <row r="162" spans="1:49" x14ac:dyDescent="0.25">
      <c r="A162" s="342" t="s">
        <v>34</v>
      </c>
      <c r="B162" s="356"/>
      <c r="C162" s="359"/>
      <c r="D162" s="153"/>
      <c r="E162" s="153"/>
      <c r="F162" s="153"/>
      <c r="G162" s="359"/>
      <c r="H162" s="153"/>
      <c r="I162" s="153"/>
      <c r="J162" s="153"/>
      <c r="K162" s="359"/>
      <c r="L162" s="153"/>
      <c r="M162" s="153"/>
      <c r="N162" s="154"/>
      <c r="O162" s="12"/>
      <c r="P162" s="12"/>
      <c r="Q162" s="12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x14ac:dyDescent="0.25">
      <c r="A163" s="337" t="s">
        <v>35</v>
      </c>
      <c r="B163" s="338" t="s">
        <v>102</v>
      </c>
      <c r="C163" s="308">
        <f t="shared" ref="C163:N163" si="116">SUM(C164:C166)</f>
        <v>30.583500000000001</v>
      </c>
      <c r="D163" s="309">
        <f t="shared" si="116"/>
        <v>30.532999999999998</v>
      </c>
      <c r="E163" s="309">
        <f t="shared" si="116"/>
        <v>30.673999999999999</v>
      </c>
      <c r="F163" s="310">
        <f t="shared" si="116"/>
        <v>30.556000000000001</v>
      </c>
      <c r="G163" s="308">
        <f t="shared" si="116"/>
        <v>28.682499999999997</v>
      </c>
      <c r="H163" s="309">
        <f t="shared" si="116"/>
        <v>28.331</v>
      </c>
      <c r="I163" s="309">
        <f t="shared" si="116"/>
        <v>28.472000000000001</v>
      </c>
      <c r="J163" s="310">
        <f t="shared" si="116"/>
        <v>28.524000000000001</v>
      </c>
      <c r="K163" s="308">
        <f t="shared" si="116"/>
        <v>27.831499999999998</v>
      </c>
      <c r="L163" s="309">
        <f t="shared" si="116"/>
        <v>27.329000000000001</v>
      </c>
      <c r="M163" s="309">
        <f t="shared" si="116"/>
        <v>27.361499999999999</v>
      </c>
      <c r="N163" s="310">
        <f t="shared" si="116"/>
        <v>27.487000000000002</v>
      </c>
      <c r="O163" s="12"/>
      <c r="P163" s="12"/>
      <c r="Q163" s="12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s="11" customFormat="1" x14ac:dyDescent="0.25">
      <c r="A164" s="333" t="s">
        <v>114</v>
      </c>
      <c r="B164" s="334" t="s">
        <v>102</v>
      </c>
      <c r="C164" s="311">
        <f t="shared" ref="C164:N164" si="117">C129+C146-(C133-(C168-C159))+C155</f>
        <v>25.027000000000001</v>
      </c>
      <c r="D164" s="312">
        <f t="shared" si="117"/>
        <v>25.001999999999999</v>
      </c>
      <c r="E164" s="312">
        <f t="shared" si="117"/>
        <v>25.047000000000001</v>
      </c>
      <c r="F164" s="313">
        <f t="shared" si="117"/>
        <v>24.88</v>
      </c>
      <c r="G164" s="311">
        <f t="shared" si="117"/>
        <v>23.126999999999999</v>
      </c>
      <c r="H164" s="312">
        <f t="shared" si="117"/>
        <v>22.802</v>
      </c>
      <c r="I164" s="312">
        <f t="shared" si="117"/>
        <v>22.847000000000001</v>
      </c>
      <c r="J164" s="313">
        <f t="shared" si="117"/>
        <v>22.85</v>
      </c>
      <c r="K164" s="311">
        <f t="shared" si="117"/>
        <v>22.626999999999999</v>
      </c>
      <c r="L164" s="312">
        <f t="shared" si="117"/>
        <v>22.052</v>
      </c>
      <c r="M164" s="312">
        <f t="shared" si="117"/>
        <v>22.087</v>
      </c>
      <c r="N164" s="313">
        <f t="shared" si="117"/>
        <v>22.11</v>
      </c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</row>
    <row r="165" spans="1:49" s="11" customFormat="1" x14ac:dyDescent="0.25">
      <c r="A165" s="333" t="s">
        <v>89</v>
      </c>
      <c r="B165" s="334" t="s">
        <v>102</v>
      </c>
      <c r="C165" s="311">
        <f t="shared" ref="C165:N165" si="118">C130+C147-(C134-(C169-C160))+C156</f>
        <v>5.0564999999999998</v>
      </c>
      <c r="D165" s="312">
        <f t="shared" si="118"/>
        <v>5.0810000000000004</v>
      </c>
      <c r="E165" s="312">
        <f t="shared" si="118"/>
        <v>5.1269999999999998</v>
      </c>
      <c r="F165" s="313">
        <f t="shared" si="118"/>
        <v>5.0759999999999996</v>
      </c>
      <c r="G165" s="311">
        <f t="shared" si="118"/>
        <v>5.0554999999999994</v>
      </c>
      <c r="H165" s="312">
        <f t="shared" si="118"/>
        <v>5.0790000000000006</v>
      </c>
      <c r="I165" s="312">
        <f t="shared" si="118"/>
        <v>5.125</v>
      </c>
      <c r="J165" s="313">
        <f t="shared" si="118"/>
        <v>5.0739999999999998</v>
      </c>
      <c r="K165" s="311">
        <f t="shared" si="118"/>
        <v>5.0045000000000002</v>
      </c>
      <c r="L165" s="312">
        <f t="shared" si="118"/>
        <v>5.0269999999999992</v>
      </c>
      <c r="M165" s="312">
        <f t="shared" si="118"/>
        <v>5.0745000000000005</v>
      </c>
      <c r="N165" s="313">
        <f t="shared" si="118"/>
        <v>5.0270000000000001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</row>
    <row r="166" spans="1:49" s="11" customFormat="1" ht="13.5" customHeight="1" x14ac:dyDescent="0.25">
      <c r="A166" s="333" t="s">
        <v>90</v>
      </c>
      <c r="B166" s="334" t="s">
        <v>102</v>
      </c>
      <c r="C166" s="311">
        <f t="shared" ref="C166:N166" si="119">C131+C148-(C135-(C170-C161))+C157</f>
        <v>0.5</v>
      </c>
      <c r="D166" s="312">
        <f t="shared" si="119"/>
        <v>0.45</v>
      </c>
      <c r="E166" s="312">
        <f t="shared" si="119"/>
        <v>0.5</v>
      </c>
      <c r="F166" s="313">
        <f t="shared" si="119"/>
        <v>0.6</v>
      </c>
      <c r="G166" s="311">
        <f t="shared" si="119"/>
        <v>0.5</v>
      </c>
      <c r="H166" s="312">
        <f t="shared" si="119"/>
        <v>0.45</v>
      </c>
      <c r="I166" s="312">
        <f t="shared" si="119"/>
        <v>0.5</v>
      </c>
      <c r="J166" s="313">
        <f t="shared" si="119"/>
        <v>0.6</v>
      </c>
      <c r="K166" s="311">
        <f t="shared" si="119"/>
        <v>0.2</v>
      </c>
      <c r="L166" s="312">
        <f t="shared" si="119"/>
        <v>0.25</v>
      </c>
      <c r="M166" s="312">
        <f t="shared" si="119"/>
        <v>0.2</v>
      </c>
      <c r="N166" s="313">
        <f t="shared" si="119"/>
        <v>0.35</v>
      </c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</row>
    <row r="167" spans="1:49" x14ac:dyDescent="0.25">
      <c r="A167" s="337" t="s">
        <v>36</v>
      </c>
      <c r="B167" s="338" t="s">
        <v>102</v>
      </c>
      <c r="C167" s="308">
        <f t="shared" ref="C167:N167" si="120">SUM(C168:C170)</f>
        <v>4.7285000000000004</v>
      </c>
      <c r="D167" s="309">
        <f t="shared" si="120"/>
        <v>4.74</v>
      </c>
      <c r="E167" s="309">
        <f t="shared" si="120"/>
        <v>4.75</v>
      </c>
      <c r="F167" s="310">
        <f t="shared" si="120"/>
        <v>4.7450000000000001</v>
      </c>
      <c r="G167" s="308">
        <f t="shared" si="120"/>
        <v>4.7294999999999998</v>
      </c>
      <c r="H167" s="309">
        <f t="shared" si="120"/>
        <v>4.74</v>
      </c>
      <c r="I167" s="309">
        <f t="shared" si="120"/>
        <v>4.75</v>
      </c>
      <c r="J167" s="310">
        <f t="shared" si="120"/>
        <v>4.7450000000000001</v>
      </c>
      <c r="K167" s="308">
        <f t="shared" si="120"/>
        <v>4.7305000000000001</v>
      </c>
      <c r="L167" s="309">
        <f t="shared" si="120"/>
        <v>4.74</v>
      </c>
      <c r="M167" s="309">
        <f t="shared" si="120"/>
        <v>4.7515000000000001</v>
      </c>
      <c r="N167" s="310">
        <f t="shared" si="120"/>
        <v>4.75</v>
      </c>
      <c r="O167" s="12"/>
      <c r="P167" s="12"/>
      <c r="Q167" s="12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s="11" customFormat="1" x14ac:dyDescent="0.25">
      <c r="A168" s="333" t="s">
        <v>114</v>
      </c>
      <c r="B168" s="334" t="s">
        <v>102</v>
      </c>
      <c r="C168" s="311">
        <f t="shared" ref="C168:N168" si="121">IF(C133&gt;=0.5*C146,C133-0.5*C146,0)+C159</f>
        <v>4.7</v>
      </c>
      <c r="D168" s="312">
        <f t="shared" si="121"/>
        <v>4.7</v>
      </c>
      <c r="E168" s="312">
        <f t="shared" si="121"/>
        <v>4.7</v>
      </c>
      <c r="F168" s="313">
        <f t="shared" si="121"/>
        <v>4.7</v>
      </c>
      <c r="G168" s="311">
        <f t="shared" si="121"/>
        <v>4.7</v>
      </c>
      <c r="H168" s="312">
        <f t="shared" si="121"/>
        <v>4.7</v>
      </c>
      <c r="I168" s="312">
        <f t="shared" si="121"/>
        <v>4.7</v>
      </c>
      <c r="J168" s="313">
        <f t="shared" si="121"/>
        <v>4.7</v>
      </c>
      <c r="K168" s="311">
        <f t="shared" si="121"/>
        <v>4.7</v>
      </c>
      <c r="L168" s="312">
        <f t="shared" si="121"/>
        <v>4.7</v>
      </c>
      <c r="M168" s="312">
        <f t="shared" si="121"/>
        <v>4.7</v>
      </c>
      <c r="N168" s="313">
        <f t="shared" si="121"/>
        <v>4.7</v>
      </c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</row>
    <row r="169" spans="1:49" s="11" customFormat="1" x14ac:dyDescent="0.25">
      <c r="A169" s="333" t="s">
        <v>89</v>
      </c>
      <c r="B169" s="334" t="s">
        <v>102</v>
      </c>
      <c r="C169" s="311">
        <f t="shared" ref="C169:N169" si="122">IF(C134&gt;=0.5*C147,C134-0.5*C147,0)+C160</f>
        <v>1.8499999999999989E-2</v>
      </c>
      <c r="D169" s="312">
        <f t="shared" si="122"/>
        <v>0.03</v>
      </c>
      <c r="E169" s="312">
        <f t="shared" si="122"/>
        <v>0.04</v>
      </c>
      <c r="F169" s="313">
        <f t="shared" si="122"/>
        <v>3.5000000000000003E-2</v>
      </c>
      <c r="G169" s="311">
        <f t="shared" si="122"/>
        <v>1.9499999999999962E-2</v>
      </c>
      <c r="H169" s="312">
        <f t="shared" si="122"/>
        <v>0.03</v>
      </c>
      <c r="I169" s="312">
        <f t="shared" si="122"/>
        <v>0.04</v>
      </c>
      <c r="J169" s="313">
        <f t="shared" si="122"/>
        <v>3.5000000000000003E-2</v>
      </c>
      <c r="K169" s="311">
        <f t="shared" si="122"/>
        <v>2.0499999999999963E-2</v>
      </c>
      <c r="L169" s="312">
        <f t="shared" si="122"/>
        <v>0.03</v>
      </c>
      <c r="M169" s="312">
        <f t="shared" si="122"/>
        <v>4.1500000000000446E-2</v>
      </c>
      <c r="N169" s="313">
        <f t="shared" si="122"/>
        <v>4.0000000000000008E-2</v>
      </c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</row>
    <row r="170" spans="1:49" s="11" customFormat="1" x14ac:dyDescent="0.25">
      <c r="A170" s="333" t="s">
        <v>90</v>
      </c>
      <c r="B170" s="334" t="s">
        <v>102</v>
      </c>
      <c r="C170" s="311">
        <f t="shared" ref="C170:N170" si="123">IF(C135&gt;=0.5*C148,C135-0.5*C148,0)+C161</f>
        <v>0.01</v>
      </c>
      <c r="D170" s="312">
        <f t="shared" si="123"/>
        <v>0.01</v>
      </c>
      <c r="E170" s="312">
        <f t="shared" si="123"/>
        <v>0.01</v>
      </c>
      <c r="F170" s="313">
        <f t="shared" si="123"/>
        <v>0.01</v>
      </c>
      <c r="G170" s="311">
        <f t="shared" si="123"/>
        <v>0.01</v>
      </c>
      <c r="H170" s="312">
        <f t="shared" si="123"/>
        <v>0.01</v>
      </c>
      <c r="I170" s="312">
        <f t="shared" si="123"/>
        <v>0.01</v>
      </c>
      <c r="J170" s="313">
        <f t="shared" si="123"/>
        <v>0.01</v>
      </c>
      <c r="K170" s="311">
        <f t="shared" si="123"/>
        <v>0.01</v>
      </c>
      <c r="L170" s="312">
        <f t="shared" si="123"/>
        <v>0.01</v>
      </c>
      <c r="M170" s="312">
        <f t="shared" si="123"/>
        <v>0.01</v>
      </c>
      <c r="N170" s="313">
        <f t="shared" si="123"/>
        <v>0.01</v>
      </c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</row>
    <row r="171" spans="1:49" x14ac:dyDescent="0.25">
      <c r="A171" s="337" t="s">
        <v>37</v>
      </c>
      <c r="B171" s="338" t="s">
        <v>102</v>
      </c>
      <c r="C171" s="308">
        <f t="shared" ref="C171:N171" si="124">SUM(C172:C174)</f>
        <v>4.7720000000000002</v>
      </c>
      <c r="D171" s="309">
        <f t="shared" si="124"/>
        <v>4.5339999999999998</v>
      </c>
      <c r="E171" s="309">
        <f t="shared" si="124"/>
        <v>4.4869999999999992</v>
      </c>
      <c r="F171" s="310">
        <f t="shared" si="124"/>
        <v>4.5529999999999999</v>
      </c>
      <c r="G171" s="308">
        <f t="shared" si="124"/>
        <v>4.7299999999999995</v>
      </c>
      <c r="H171" s="309">
        <f t="shared" si="124"/>
        <v>4.4970000000000008</v>
      </c>
      <c r="I171" s="309">
        <f t="shared" si="124"/>
        <v>4.4539999999999997</v>
      </c>
      <c r="J171" s="310">
        <f t="shared" si="124"/>
        <v>4.5239999999999991</v>
      </c>
      <c r="K171" s="308">
        <f t="shared" si="124"/>
        <v>4.7059999999999995</v>
      </c>
      <c r="L171" s="309">
        <f t="shared" si="124"/>
        <v>4.4780000000000006</v>
      </c>
      <c r="M171" s="309">
        <f t="shared" si="124"/>
        <v>4.4400000000000004</v>
      </c>
      <c r="N171" s="310">
        <f t="shared" si="124"/>
        <v>4.5139999999999993</v>
      </c>
      <c r="O171" s="12"/>
      <c r="P171" s="12"/>
      <c r="Q171" s="12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 s="11" customFormat="1" x14ac:dyDescent="0.25">
      <c r="A172" s="333" t="s">
        <v>114</v>
      </c>
      <c r="B172" s="334" t="s">
        <v>102</v>
      </c>
      <c r="C172" s="311">
        <f t="shared" ref="C172:N172" si="125">C137+C146-C159+C155</f>
        <v>4.008</v>
      </c>
      <c r="D172" s="312">
        <f t="shared" si="125"/>
        <v>3.9020000000000001</v>
      </c>
      <c r="E172" s="312">
        <f t="shared" si="125"/>
        <v>3.855</v>
      </c>
      <c r="F172" s="313">
        <f t="shared" si="125"/>
        <v>3.819</v>
      </c>
      <c r="G172" s="311">
        <f t="shared" si="125"/>
        <v>4.0119999999999996</v>
      </c>
      <c r="H172" s="312">
        <f t="shared" si="125"/>
        <v>3.911</v>
      </c>
      <c r="I172" s="312">
        <f t="shared" si="125"/>
        <v>3.8679999999999999</v>
      </c>
      <c r="J172" s="313">
        <f t="shared" si="125"/>
        <v>3.8359999999999999</v>
      </c>
      <c r="K172" s="311">
        <f t="shared" si="125"/>
        <v>4.0339999999999998</v>
      </c>
      <c r="L172" s="312">
        <f t="shared" si="125"/>
        <v>3.9369999999999998</v>
      </c>
      <c r="M172" s="312">
        <f t="shared" si="125"/>
        <v>3.899</v>
      </c>
      <c r="N172" s="313">
        <f t="shared" si="125"/>
        <v>3.871</v>
      </c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</row>
    <row r="173" spans="1:49" s="11" customFormat="1" x14ac:dyDescent="0.25">
      <c r="A173" s="333" t="s">
        <v>89</v>
      </c>
      <c r="B173" s="334" t="s">
        <v>102</v>
      </c>
      <c r="C173" s="311">
        <f t="shared" ref="C173:N173" si="126">C138+C147-C160+C156</f>
        <v>0.46300000000000002</v>
      </c>
      <c r="D173" s="312">
        <f t="shared" si="126"/>
        <v>0.46800000000000003</v>
      </c>
      <c r="E173" s="312">
        <f t="shared" si="126"/>
        <v>0.47099999999999997</v>
      </c>
      <c r="F173" s="313">
        <f t="shared" si="126"/>
        <v>0.47599999999999998</v>
      </c>
      <c r="G173" s="311">
        <f t="shared" si="126"/>
        <v>0.46300000000000002</v>
      </c>
      <c r="H173" s="312">
        <f t="shared" si="126"/>
        <v>0.46800000000000003</v>
      </c>
      <c r="I173" s="312">
        <f t="shared" si="126"/>
        <v>0.47099999999999997</v>
      </c>
      <c r="J173" s="313">
        <f t="shared" si="126"/>
        <v>0.47599999999999998</v>
      </c>
      <c r="K173" s="311">
        <f t="shared" si="126"/>
        <v>0.46300000000000002</v>
      </c>
      <c r="L173" s="312">
        <f t="shared" si="126"/>
        <v>0.46800000000000003</v>
      </c>
      <c r="M173" s="312">
        <f t="shared" si="126"/>
        <v>0.47099999999999997</v>
      </c>
      <c r="N173" s="313">
        <f t="shared" si="126"/>
        <v>0.47599999999999998</v>
      </c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</row>
    <row r="174" spans="1:49" s="11" customFormat="1" x14ac:dyDescent="0.25">
      <c r="A174" s="333" t="s">
        <v>90</v>
      </c>
      <c r="B174" s="334" t="s">
        <v>102</v>
      </c>
      <c r="C174" s="311">
        <f t="shared" ref="C174:N174" si="127">C139+C148-C161+C157</f>
        <v>0.30099999999999999</v>
      </c>
      <c r="D174" s="312">
        <f t="shared" si="127"/>
        <v>0.16400000000000001</v>
      </c>
      <c r="E174" s="312">
        <f t="shared" si="127"/>
        <v>0.161</v>
      </c>
      <c r="F174" s="313">
        <f t="shared" si="127"/>
        <v>0.25800000000000001</v>
      </c>
      <c r="G174" s="311">
        <f t="shared" si="127"/>
        <v>0.255</v>
      </c>
      <c r="H174" s="312">
        <f t="shared" si="127"/>
        <v>0.11799999999999999</v>
      </c>
      <c r="I174" s="312">
        <f t="shared" si="127"/>
        <v>0.115</v>
      </c>
      <c r="J174" s="313">
        <f t="shared" si="127"/>
        <v>0.21199999999999999</v>
      </c>
      <c r="K174" s="311">
        <f t="shared" si="127"/>
        <v>0.20899999999999999</v>
      </c>
      <c r="L174" s="312">
        <f t="shared" si="127"/>
        <v>7.2999999999999995E-2</v>
      </c>
      <c r="M174" s="312">
        <f t="shared" si="127"/>
        <v>7.0000000000000007E-2</v>
      </c>
      <c r="N174" s="313">
        <f t="shared" si="127"/>
        <v>0.16700000000000001</v>
      </c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</row>
    <row r="175" spans="1:49" x14ac:dyDescent="0.25">
      <c r="A175" s="342" t="s">
        <v>38</v>
      </c>
      <c r="B175" s="338"/>
      <c r="C175" s="347"/>
      <c r="D175" s="348"/>
      <c r="E175" s="348"/>
      <c r="F175" s="359"/>
      <c r="G175" s="153"/>
      <c r="H175" s="153"/>
      <c r="I175" s="153"/>
      <c r="J175" s="153"/>
      <c r="K175" s="359"/>
      <c r="L175" s="153"/>
      <c r="M175" s="153"/>
      <c r="N175" s="154"/>
      <c r="O175" s="12"/>
      <c r="P175" s="12"/>
      <c r="Q175" s="12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</row>
    <row r="176" spans="1:49" x14ac:dyDescent="0.25">
      <c r="A176" s="337" t="s">
        <v>39</v>
      </c>
      <c r="B176" s="338" t="s">
        <v>102</v>
      </c>
      <c r="C176" s="308">
        <f t="shared" ref="C176:N176" si="128">SUM(C177:C179)</f>
        <v>1.1499999999999844E-2</v>
      </c>
      <c r="D176" s="309">
        <f t="shared" si="128"/>
        <v>1.1499999999999844E-2</v>
      </c>
      <c r="E176" s="309">
        <f t="shared" si="128"/>
        <v>8.49999999999973E-3</v>
      </c>
      <c r="F176" s="310">
        <f t="shared" si="128"/>
        <v>7.499999999999396E-3</v>
      </c>
      <c r="G176" s="308">
        <f t="shared" si="128"/>
        <v>1.049999999999951E-2</v>
      </c>
      <c r="H176" s="309">
        <f t="shared" si="128"/>
        <v>8.49999999999973E-3</v>
      </c>
      <c r="I176" s="309">
        <f t="shared" si="128"/>
        <v>3.4999999999998366E-3</v>
      </c>
      <c r="J176" s="310">
        <f t="shared" si="128"/>
        <v>4.9999999999972289E-4</v>
      </c>
      <c r="K176" s="308">
        <f t="shared" si="128"/>
        <v>9.5000000000000639E-3</v>
      </c>
      <c r="L176" s="309">
        <f t="shared" si="128"/>
        <v>5.4999999999996163E-3</v>
      </c>
      <c r="M176" s="309">
        <f t="shared" si="128"/>
        <v>0</v>
      </c>
      <c r="N176" s="310">
        <f t="shared" si="128"/>
        <v>0</v>
      </c>
      <c r="O176" s="12"/>
      <c r="P176" s="12"/>
      <c r="Q176" s="12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</row>
    <row r="177" spans="1:49" s="11" customFormat="1" x14ac:dyDescent="0.25">
      <c r="A177" s="333" t="s">
        <v>114</v>
      </c>
      <c r="B177" s="334" t="s">
        <v>102</v>
      </c>
      <c r="C177" s="311">
        <f>C164-C129</f>
        <v>0</v>
      </c>
      <c r="D177" s="312">
        <f t="shared" ref="D177:F179" si="129">D164-D129+C177</f>
        <v>0</v>
      </c>
      <c r="E177" s="312">
        <f t="shared" si="129"/>
        <v>0</v>
      </c>
      <c r="F177" s="313">
        <f t="shared" si="129"/>
        <v>0</v>
      </c>
      <c r="G177" s="311">
        <f>G164-G129</f>
        <v>0</v>
      </c>
      <c r="H177" s="312">
        <f t="shared" ref="H177:J179" si="130">H164-H129+G177</f>
        <v>0</v>
      </c>
      <c r="I177" s="312">
        <f t="shared" si="130"/>
        <v>0</v>
      </c>
      <c r="J177" s="313">
        <f t="shared" si="130"/>
        <v>0</v>
      </c>
      <c r="K177" s="311">
        <f>K164-K129</f>
        <v>0</v>
      </c>
      <c r="L177" s="312">
        <f t="shared" ref="L177:N179" si="131">L164-L129+K177</f>
        <v>0</v>
      </c>
      <c r="M177" s="312">
        <f t="shared" si="131"/>
        <v>0</v>
      </c>
      <c r="N177" s="313">
        <f t="shared" si="131"/>
        <v>0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</row>
    <row r="178" spans="1:49" s="11" customFormat="1" x14ac:dyDescent="0.25">
      <c r="A178" s="333" t="s">
        <v>89</v>
      </c>
      <c r="B178" s="334" t="s">
        <v>102</v>
      </c>
      <c r="C178" s="311">
        <f>C165-C130</f>
        <v>1.1499999999999844E-2</v>
      </c>
      <c r="D178" s="312">
        <f t="shared" si="129"/>
        <v>1.1499999999999844E-2</v>
      </c>
      <c r="E178" s="312">
        <f t="shared" si="129"/>
        <v>8.49999999999973E-3</v>
      </c>
      <c r="F178" s="313">
        <f t="shared" si="129"/>
        <v>7.499999999999396E-3</v>
      </c>
      <c r="G178" s="311">
        <f>G165-G130</f>
        <v>1.049999999999951E-2</v>
      </c>
      <c r="H178" s="312">
        <f t="shared" si="130"/>
        <v>8.49999999999973E-3</v>
      </c>
      <c r="I178" s="312">
        <f t="shared" si="130"/>
        <v>3.4999999999998366E-3</v>
      </c>
      <c r="J178" s="313">
        <f t="shared" si="130"/>
        <v>4.9999999999972289E-4</v>
      </c>
      <c r="K178" s="311">
        <f>K165-K130</f>
        <v>9.5000000000000639E-3</v>
      </c>
      <c r="L178" s="312">
        <f t="shared" si="131"/>
        <v>5.4999999999996163E-3</v>
      </c>
      <c r="M178" s="312">
        <f t="shared" si="131"/>
        <v>0</v>
      </c>
      <c r="N178" s="313">
        <f t="shared" si="131"/>
        <v>0</v>
      </c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</row>
    <row r="179" spans="1:49" s="11" customFormat="1" x14ac:dyDescent="0.25">
      <c r="A179" s="333" t="s">
        <v>90</v>
      </c>
      <c r="B179" s="334" t="s">
        <v>102</v>
      </c>
      <c r="C179" s="311">
        <f>C166-C131</f>
        <v>0</v>
      </c>
      <c r="D179" s="312">
        <f t="shared" si="129"/>
        <v>0</v>
      </c>
      <c r="E179" s="312">
        <f t="shared" si="129"/>
        <v>0</v>
      </c>
      <c r="F179" s="313">
        <f t="shared" si="129"/>
        <v>0</v>
      </c>
      <c r="G179" s="311">
        <f>G166-G131</f>
        <v>0</v>
      </c>
      <c r="H179" s="312">
        <f t="shared" si="130"/>
        <v>0</v>
      </c>
      <c r="I179" s="312">
        <f t="shared" si="130"/>
        <v>0</v>
      </c>
      <c r="J179" s="313">
        <f t="shared" si="130"/>
        <v>0</v>
      </c>
      <c r="K179" s="311">
        <f>K166-K131</f>
        <v>0</v>
      </c>
      <c r="L179" s="312">
        <f t="shared" si="131"/>
        <v>0</v>
      </c>
      <c r="M179" s="312">
        <f t="shared" si="131"/>
        <v>0</v>
      </c>
      <c r="N179" s="313">
        <f t="shared" si="131"/>
        <v>0</v>
      </c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</row>
    <row r="180" spans="1:49" x14ac:dyDescent="0.25">
      <c r="A180" s="337" t="s">
        <v>40</v>
      </c>
      <c r="B180" s="338" t="s">
        <v>102</v>
      </c>
      <c r="C180" s="308">
        <f t="shared" ref="C180:N180" si="132">SUM(C181:C183)</f>
        <v>-1.150000000000001E-2</v>
      </c>
      <c r="D180" s="309">
        <f t="shared" si="132"/>
        <v>-1.150000000000001E-2</v>
      </c>
      <c r="E180" s="309">
        <f t="shared" si="132"/>
        <v>-1.150000000000001E-2</v>
      </c>
      <c r="F180" s="310">
        <f t="shared" si="132"/>
        <v>-1.150000000000001E-2</v>
      </c>
      <c r="G180" s="308">
        <f t="shared" si="132"/>
        <v>-1.0500000000000037E-2</v>
      </c>
      <c r="H180" s="309">
        <f t="shared" si="132"/>
        <v>-1.0500000000000037E-2</v>
      </c>
      <c r="I180" s="309">
        <f t="shared" si="132"/>
        <v>-1.0500000000000037E-2</v>
      </c>
      <c r="J180" s="310">
        <f t="shared" si="132"/>
        <v>-1.0500000000000037E-2</v>
      </c>
      <c r="K180" s="308">
        <f t="shared" si="132"/>
        <v>-9.5000000000000362E-3</v>
      </c>
      <c r="L180" s="309">
        <f t="shared" si="132"/>
        <v>-9.5000000000000362E-3</v>
      </c>
      <c r="M180" s="309">
        <f t="shared" si="132"/>
        <v>-7.9999999999995908E-3</v>
      </c>
      <c r="N180" s="310">
        <f t="shared" si="132"/>
        <v>-2.9999999999995863E-3</v>
      </c>
      <c r="O180" s="12"/>
      <c r="P180" s="12"/>
      <c r="Q180" s="12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</row>
    <row r="181" spans="1:49" s="11" customFormat="1" x14ac:dyDescent="0.25">
      <c r="A181" s="333" t="s">
        <v>114</v>
      </c>
      <c r="B181" s="334" t="s">
        <v>102</v>
      </c>
      <c r="C181" s="311">
        <f>C168-C133</f>
        <v>0</v>
      </c>
      <c r="D181" s="312">
        <f t="shared" ref="D181:F183" si="133">D168-D133+C181</f>
        <v>0</v>
      </c>
      <c r="E181" s="312">
        <f t="shared" si="133"/>
        <v>0</v>
      </c>
      <c r="F181" s="313">
        <f t="shared" si="133"/>
        <v>0</v>
      </c>
      <c r="G181" s="311">
        <f>G168-G133</f>
        <v>0</v>
      </c>
      <c r="H181" s="312">
        <f t="shared" ref="H181:J183" si="134">H168-H133+G181</f>
        <v>0</v>
      </c>
      <c r="I181" s="312">
        <f t="shared" si="134"/>
        <v>0</v>
      </c>
      <c r="J181" s="313">
        <f t="shared" si="134"/>
        <v>0</v>
      </c>
      <c r="K181" s="311">
        <f>K168-K133</f>
        <v>0</v>
      </c>
      <c r="L181" s="312">
        <f t="shared" ref="L181:N183" si="135">L168-L133+K181</f>
        <v>0</v>
      </c>
      <c r="M181" s="312">
        <f t="shared" si="135"/>
        <v>0</v>
      </c>
      <c r="N181" s="313">
        <f t="shared" si="135"/>
        <v>0</v>
      </c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</row>
    <row r="182" spans="1:49" s="11" customFormat="1" x14ac:dyDescent="0.25">
      <c r="A182" s="333" t="s">
        <v>89</v>
      </c>
      <c r="B182" s="334" t="s">
        <v>102</v>
      </c>
      <c r="C182" s="311">
        <f>C169-C134</f>
        <v>-1.150000000000001E-2</v>
      </c>
      <c r="D182" s="312">
        <f t="shared" si="133"/>
        <v>-1.150000000000001E-2</v>
      </c>
      <c r="E182" s="312">
        <f t="shared" si="133"/>
        <v>-1.150000000000001E-2</v>
      </c>
      <c r="F182" s="313">
        <f t="shared" si="133"/>
        <v>-1.150000000000001E-2</v>
      </c>
      <c r="G182" s="311">
        <f>G169-G134</f>
        <v>-1.0500000000000037E-2</v>
      </c>
      <c r="H182" s="312">
        <f t="shared" si="134"/>
        <v>-1.0500000000000037E-2</v>
      </c>
      <c r="I182" s="312">
        <f t="shared" si="134"/>
        <v>-1.0500000000000037E-2</v>
      </c>
      <c r="J182" s="313">
        <f t="shared" si="134"/>
        <v>-1.0500000000000037E-2</v>
      </c>
      <c r="K182" s="311">
        <f>K169-K134</f>
        <v>-9.5000000000000362E-3</v>
      </c>
      <c r="L182" s="312">
        <f t="shared" si="135"/>
        <v>-9.5000000000000362E-3</v>
      </c>
      <c r="M182" s="312">
        <f t="shared" si="135"/>
        <v>-7.9999999999995908E-3</v>
      </c>
      <c r="N182" s="313">
        <f t="shared" si="135"/>
        <v>-2.9999999999995863E-3</v>
      </c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</row>
    <row r="183" spans="1:49" s="11" customFormat="1" x14ac:dyDescent="0.25">
      <c r="A183" s="333" t="s">
        <v>90</v>
      </c>
      <c r="B183" s="334" t="s">
        <v>102</v>
      </c>
      <c r="C183" s="311">
        <f>C170-C135</f>
        <v>0</v>
      </c>
      <c r="D183" s="312">
        <f t="shared" si="133"/>
        <v>0</v>
      </c>
      <c r="E183" s="312">
        <f t="shared" si="133"/>
        <v>0</v>
      </c>
      <c r="F183" s="313">
        <f t="shared" si="133"/>
        <v>0</v>
      </c>
      <c r="G183" s="311">
        <f>G170-G135</f>
        <v>0</v>
      </c>
      <c r="H183" s="312">
        <f t="shared" si="134"/>
        <v>0</v>
      </c>
      <c r="I183" s="312">
        <f t="shared" si="134"/>
        <v>0</v>
      </c>
      <c r="J183" s="313">
        <f t="shared" si="134"/>
        <v>0</v>
      </c>
      <c r="K183" s="311">
        <f>K170-K135</f>
        <v>0</v>
      </c>
      <c r="L183" s="312">
        <f t="shared" si="135"/>
        <v>0</v>
      </c>
      <c r="M183" s="312">
        <f t="shared" si="135"/>
        <v>0</v>
      </c>
      <c r="N183" s="313">
        <f t="shared" si="135"/>
        <v>0</v>
      </c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</row>
    <row r="184" spans="1:49" ht="28.5" x14ac:dyDescent="0.25">
      <c r="A184" s="337" t="s">
        <v>41</v>
      </c>
      <c r="B184" s="338" t="s">
        <v>102</v>
      </c>
      <c r="C184" s="308">
        <f t="shared" ref="C184:N184" si="136">SUM(C185:C187)</f>
        <v>2.300000000000002E-2</v>
      </c>
      <c r="D184" s="309">
        <f t="shared" si="136"/>
        <v>2.300000000000002E-2</v>
      </c>
      <c r="E184" s="309">
        <f t="shared" si="136"/>
        <v>1.9999999999999962E-2</v>
      </c>
      <c r="F184" s="310">
        <f t="shared" si="136"/>
        <v>1.8999999999999961E-2</v>
      </c>
      <c r="G184" s="308">
        <f t="shared" si="136"/>
        <v>4.0000000000000036E-2</v>
      </c>
      <c r="H184" s="309">
        <f t="shared" si="136"/>
        <v>3.8000000000000034E-2</v>
      </c>
      <c r="I184" s="309">
        <f t="shared" si="136"/>
        <v>3.2999999999999974E-2</v>
      </c>
      <c r="J184" s="310">
        <f t="shared" si="136"/>
        <v>2.9999999999999971E-2</v>
      </c>
      <c r="K184" s="308">
        <f t="shared" si="136"/>
        <v>4.9000000000000044E-2</v>
      </c>
      <c r="L184" s="309">
        <f t="shared" si="136"/>
        <v>4.500000000000004E-2</v>
      </c>
      <c r="M184" s="309">
        <f t="shared" si="136"/>
        <v>3.7999999999999978E-2</v>
      </c>
      <c r="N184" s="310">
        <f t="shared" si="136"/>
        <v>3.2999999999999974E-2</v>
      </c>
      <c r="O184" s="12"/>
      <c r="P184" s="12"/>
      <c r="Q184" s="12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spans="1:49" s="11" customFormat="1" x14ac:dyDescent="0.25">
      <c r="A185" s="333" t="s">
        <v>116</v>
      </c>
      <c r="B185" s="334" t="s">
        <v>102</v>
      </c>
      <c r="C185" s="311">
        <f>C172-C137</f>
        <v>0</v>
      </c>
      <c r="D185" s="312">
        <f t="shared" ref="D185:N185" si="137">D172-D137+C185</f>
        <v>0</v>
      </c>
      <c r="E185" s="312">
        <f t="shared" si="137"/>
        <v>0</v>
      </c>
      <c r="F185" s="313">
        <f t="shared" si="137"/>
        <v>0</v>
      </c>
      <c r="G185" s="311">
        <f t="shared" si="137"/>
        <v>0</v>
      </c>
      <c r="H185" s="312">
        <f t="shared" si="137"/>
        <v>0</v>
      </c>
      <c r="I185" s="312">
        <f t="shared" si="137"/>
        <v>0</v>
      </c>
      <c r="J185" s="313">
        <f t="shared" si="137"/>
        <v>0</v>
      </c>
      <c r="K185" s="311">
        <f t="shared" si="137"/>
        <v>0</v>
      </c>
      <c r="L185" s="312">
        <f t="shared" si="137"/>
        <v>0</v>
      </c>
      <c r="M185" s="312">
        <f t="shared" si="137"/>
        <v>0</v>
      </c>
      <c r="N185" s="313">
        <f t="shared" si="137"/>
        <v>0</v>
      </c>
      <c r="O185" s="12"/>
      <c r="P185" s="13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</row>
    <row r="186" spans="1:49" s="11" customFormat="1" x14ac:dyDescent="0.25">
      <c r="A186" s="333" t="s">
        <v>89</v>
      </c>
      <c r="B186" s="334" t="s">
        <v>102</v>
      </c>
      <c r="C186" s="311">
        <f>C173-C138</f>
        <v>2.300000000000002E-2</v>
      </c>
      <c r="D186" s="312">
        <f t="shared" ref="D186:N186" si="138">D173-D138+C186</f>
        <v>2.300000000000002E-2</v>
      </c>
      <c r="E186" s="312">
        <f t="shared" si="138"/>
        <v>1.9999999999999962E-2</v>
      </c>
      <c r="F186" s="313">
        <f t="shared" si="138"/>
        <v>1.8999999999999961E-2</v>
      </c>
      <c r="G186" s="311">
        <f t="shared" si="138"/>
        <v>4.0000000000000036E-2</v>
      </c>
      <c r="H186" s="312">
        <f t="shared" si="138"/>
        <v>3.8000000000000034E-2</v>
      </c>
      <c r="I186" s="312">
        <f t="shared" si="138"/>
        <v>3.2999999999999974E-2</v>
      </c>
      <c r="J186" s="313">
        <f t="shared" si="138"/>
        <v>2.9999999999999971E-2</v>
      </c>
      <c r="K186" s="311">
        <f t="shared" si="138"/>
        <v>4.9000000000000044E-2</v>
      </c>
      <c r="L186" s="312">
        <f t="shared" si="138"/>
        <v>4.500000000000004E-2</v>
      </c>
      <c r="M186" s="312">
        <f t="shared" si="138"/>
        <v>3.7999999999999978E-2</v>
      </c>
      <c r="N186" s="313">
        <f t="shared" si="138"/>
        <v>3.2999999999999974E-2</v>
      </c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</row>
    <row r="187" spans="1:49" s="11" customFormat="1" ht="15.75" thickBot="1" x14ac:dyDescent="0.3">
      <c r="A187" s="345" t="s">
        <v>90</v>
      </c>
      <c r="B187" s="346" t="s">
        <v>102</v>
      </c>
      <c r="C187" s="349">
        <f>C174-C139</f>
        <v>0</v>
      </c>
      <c r="D187" s="350">
        <f t="shared" ref="D187:N187" si="139">D174-D139+C187</f>
        <v>0</v>
      </c>
      <c r="E187" s="350">
        <f t="shared" si="139"/>
        <v>0</v>
      </c>
      <c r="F187" s="351">
        <f t="shared" si="139"/>
        <v>0</v>
      </c>
      <c r="G187" s="349">
        <f t="shared" si="139"/>
        <v>0</v>
      </c>
      <c r="H187" s="350">
        <f t="shared" si="139"/>
        <v>0</v>
      </c>
      <c r="I187" s="350">
        <f t="shared" si="139"/>
        <v>0</v>
      </c>
      <c r="J187" s="351">
        <f t="shared" si="139"/>
        <v>0</v>
      </c>
      <c r="K187" s="349">
        <f t="shared" si="139"/>
        <v>0</v>
      </c>
      <c r="L187" s="350">
        <f t="shared" si="139"/>
        <v>0</v>
      </c>
      <c r="M187" s="350">
        <f t="shared" si="139"/>
        <v>0</v>
      </c>
      <c r="N187" s="351">
        <f t="shared" si="139"/>
        <v>0</v>
      </c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</row>
    <row r="188" spans="1:49" x14ac:dyDescent="0.25">
      <c r="A188" s="4"/>
      <c r="B188" s="3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</row>
    <row r="219" spans="1:19" ht="15.75" hidden="1" outlineLevel="1" thickBot="1" x14ac:dyDescent="0.3">
      <c r="A219" s="21"/>
      <c r="B219" s="23"/>
      <c r="C219" s="120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22"/>
      <c r="S219" s="23"/>
    </row>
    <row r="220" spans="1:19" hidden="1" outlineLevel="1" x14ac:dyDescent="0.25">
      <c r="A220" s="25"/>
      <c r="B220" s="34"/>
      <c r="C220" s="155"/>
      <c r="D220" s="156"/>
      <c r="E220" s="156"/>
      <c r="F220" s="156"/>
      <c r="G220" s="156"/>
      <c r="H220" s="156"/>
      <c r="I220" s="157"/>
      <c r="J220" s="157"/>
      <c r="K220" s="157"/>
      <c r="L220" s="157"/>
      <c r="M220" s="157"/>
      <c r="N220" s="157"/>
      <c r="O220" s="157"/>
      <c r="P220" s="157"/>
      <c r="Q220" s="157"/>
      <c r="R220" s="26"/>
      <c r="S220" s="27"/>
    </row>
    <row r="221" spans="1:19" hidden="1" outlineLevel="1" x14ac:dyDescent="0.25">
      <c r="A221" s="30"/>
      <c r="B221" s="35"/>
      <c r="C221" s="158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66"/>
      <c r="S221" s="67"/>
    </row>
    <row r="222" spans="1:19" hidden="1" outlineLevel="1" x14ac:dyDescent="0.25">
      <c r="A222" s="30"/>
      <c r="B222" s="35"/>
      <c r="C222" s="158"/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66"/>
      <c r="S222" s="67"/>
    </row>
    <row r="223" spans="1:19" hidden="1" outlineLevel="1" x14ac:dyDescent="0.25">
      <c r="A223" s="30"/>
      <c r="B223" s="35"/>
      <c r="C223" s="158"/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66"/>
      <c r="S223" s="67"/>
    </row>
    <row r="224" spans="1:19" hidden="1" outlineLevel="1" x14ac:dyDescent="0.25">
      <c r="A224" s="30"/>
      <c r="B224" s="35"/>
      <c r="C224" s="158"/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66"/>
      <c r="S224" s="67"/>
    </row>
    <row r="225" spans="1:19" hidden="1" outlineLevel="1" x14ac:dyDescent="0.25">
      <c r="A225" s="30"/>
      <c r="B225" s="35"/>
      <c r="C225" s="158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66"/>
      <c r="S225" s="67"/>
    </row>
    <row r="226" spans="1:19" hidden="1" outlineLevel="1" x14ac:dyDescent="0.25">
      <c r="A226" s="30"/>
      <c r="B226" s="35"/>
      <c r="C226" s="158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66"/>
      <c r="S226" s="67"/>
    </row>
    <row r="227" spans="1:19" hidden="1" outlineLevel="1" x14ac:dyDescent="0.25">
      <c r="A227" s="30"/>
      <c r="B227" s="35"/>
      <c r="C227" s="158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66"/>
      <c r="S227" s="67"/>
    </row>
    <row r="228" spans="1:19" hidden="1" outlineLevel="1" x14ac:dyDescent="0.25">
      <c r="A228" s="30"/>
      <c r="B228" s="35"/>
      <c r="C228" s="158"/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66"/>
      <c r="S228" s="67"/>
    </row>
    <row r="229" spans="1:19" hidden="1" outlineLevel="1" x14ac:dyDescent="0.25">
      <c r="A229" s="28"/>
      <c r="B229" s="36"/>
      <c r="C229" s="160"/>
      <c r="D229" s="161"/>
      <c r="E229" s="161"/>
      <c r="F229" s="161"/>
      <c r="G229" s="161"/>
      <c r="H229" s="161"/>
      <c r="I229" s="162"/>
      <c r="J229" s="162"/>
      <c r="K229" s="162"/>
      <c r="L229" s="162"/>
      <c r="M229" s="162"/>
      <c r="N229" s="162"/>
      <c r="O229" s="162"/>
      <c r="P229" s="162"/>
      <c r="Q229" s="162"/>
      <c r="R229" s="68"/>
      <c r="S229" s="69"/>
    </row>
    <row r="230" spans="1:19" hidden="1" outlineLevel="1" x14ac:dyDescent="0.25">
      <c r="A230" s="30"/>
      <c r="B230" s="35"/>
      <c r="C230" s="158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66"/>
      <c r="S230" s="67"/>
    </row>
    <row r="231" spans="1:19" hidden="1" outlineLevel="1" x14ac:dyDescent="0.25">
      <c r="A231" s="30"/>
      <c r="B231" s="35"/>
      <c r="C231" s="158"/>
      <c r="D231" s="159"/>
      <c r="E231" s="159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66"/>
      <c r="S231" s="67"/>
    </row>
    <row r="232" spans="1:19" hidden="1" outlineLevel="1" x14ac:dyDescent="0.25">
      <c r="A232" s="30"/>
      <c r="B232" s="35"/>
      <c r="C232" s="158"/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159"/>
      <c r="Q232" s="159"/>
      <c r="R232" s="66"/>
      <c r="S232" s="67"/>
    </row>
    <row r="233" spans="1:19" hidden="1" outlineLevel="1" x14ac:dyDescent="0.25">
      <c r="A233" s="30"/>
      <c r="B233" s="35"/>
      <c r="C233" s="158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66"/>
      <c r="S233" s="67"/>
    </row>
    <row r="234" spans="1:19" hidden="1" outlineLevel="1" x14ac:dyDescent="0.25">
      <c r="A234" s="30"/>
      <c r="B234" s="35"/>
      <c r="C234" s="158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66"/>
      <c r="S234" s="67"/>
    </row>
    <row r="235" spans="1:19" hidden="1" outlineLevel="1" x14ac:dyDescent="0.25">
      <c r="A235" s="30"/>
      <c r="B235" s="35"/>
      <c r="C235" s="158"/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66"/>
      <c r="S235" s="67"/>
    </row>
    <row r="236" spans="1:19" hidden="1" outlineLevel="1" x14ac:dyDescent="0.25">
      <c r="A236" s="30"/>
      <c r="B236" s="35"/>
      <c r="C236" s="158"/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66"/>
      <c r="S236" s="67"/>
    </row>
    <row r="237" spans="1:19" hidden="1" outlineLevel="1" x14ac:dyDescent="0.25">
      <c r="A237" s="30"/>
      <c r="B237" s="35"/>
      <c r="C237" s="158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66"/>
      <c r="S237" s="67"/>
    </row>
    <row r="238" spans="1:19" hidden="1" outlineLevel="1" x14ac:dyDescent="0.25">
      <c r="A238" s="28"/>
      <c r="B238" s="36"/>
      <c r="C238" s="160"/>
      <c r="D238" s="161"/>
      <c r="E238" s="161"/>
      <c r="F238" s="161"/>
      <c r="G238" s="161"/>
      <c r="H238" s="161"/>
      <c r="I238" s="162"/>
      <c r="J238" s="162"/>
      <c r="K238" s="162"/>
      <c r="L238" s="162"/>
      <c r="M238" s="162"/>
      <c r="N238" s="162"/>
      <c r="O238" s="162"/>
      <c r="P238" s="162"/>
      <c r="Q238" s="162"/>
      <c r="R238" s="68"/>
      <c r="S238" s="69"/>
    </row>
    <row r="239" spans="1:19" hidden="1" outlineLevel="1" x14ac:dyDescent="0.25">
      <c r="A239" s="30"/>
      <c r="B239" s="35"/>
      <c r="C239" s="158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66"/>
      <c r="S239" s="67"/>
    </row>
    <row r="240" spans="1:19" hidden="1" outlineLevel="1" x14ac:dyDescent="0.25">
      <c r="A240" s="30"/>
      <c r="B240" s="35"/>
      <c r="C240" s="158"/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66"/>
      <c r="S240" s="67"/>
    </row>
    <row r="241" spans="1:19" hidden="1" outlineLevel="1" x14ac:dyDescent="0.25">
      <c r="A241" s="30"/>
      <c r="B241" s="35"/>
      <c r="C241" s="158"/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66"/>
      <c r="S241" s="67"/>
    </row>
    <row r="242" spans="1:19" hidden="1" outlineLevel="1" x14ac:dyDescent="0.25">
      <c r="A242" s="30"/>
      <c r="B242" s="35"/>
      <c r="C242" s="158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66"/>
      <c r="S242" s="67"/>
    </row>
    <row r="243" spans="1:19" hidden="1" outlineLevel="1" x14ac:dyDescent="0.25">
      <c r="A243" s="30"/>
      <c r="B243" s="35"/>
      <c r="C243" s="158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66"/>
      <c r="S243" s="67"/>
    </row>
    <row r="244" spans="1:19" hidden="1" outlineLevel="1" x14ac:dyDescent="0.25">
      <c r="A244" s="30"/>
      <c r="B244" s="35"/>
      <c r="C244" s="158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66"/>
      <c r="S244" s="67"/>
    </row>
    <row r="245" spans="1:19" hidden="1" outlineLevel="1" x14ac:dyDescent="0.25">
      <c r="A245" s="30"/>
      <c r="B245" s="35"/>
      <c r="C245" s="158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66"/>
      <c r="S245" s="67"/>
    </row>
    <row r="246" spans="1:19" ht="15.75" hidden="1" outlineLevel="1" thickBot="1" x14ac:dyDescent="0.3">
      <c r="A246" s="31"/>
      <c r="B246" s="65"/>
      <c r="C246" s="163"/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70"/>
      <c r="S246" s="71"/>
    </row>
    <row r="247" spans="1:19" hidden="1" outlineLevel="1" x14ac:dyDescent="0.25"/>
    <row r="248" spans="1:19" collapsed="1" x14ac:dyDescent="0.25"/>
    <row r="605" spans="3:52" x14ac:dyDescent="0.25">
      <c r="C605" s="12">
        <v>20</v>
      </c>
      <c r="D605" s="12">
        <v>21</v>
      </c>
      <c r="E605" s="12">
        <v>22</v>
      </c>
      <c r="F605" s="12">
        <v>23</v>
      </c>
      <c r="G605" s="12">
        <v>24</v>
      </c>
      <c r="H605" s="12">
        <v>25</v>
      </c>
      <c r="I605" s="12">
        <v>26</v>
      </c>
      <c r="J605" s="12">
        <v>27</v>
      </c>
      <c r="K605" s="12">
        <v>28</v>
      </c>
      <c r="L605" s="12">
        <v>29</v>
      </c>
      <c r="M605" s="12">
        <v>30</v>
      </c>
      <c r="N605" s="12">
        <v>31</v>
      </c>
      <c r="O605" s="12">
        <v>32</v>
      </c>
      <c r="P605" s="12">
        <v>33</v>
      </c>
      <c r="Q605" s="12">
        <v>34</v>
      </c>
      <c r="R605" s="4">
        <v>35</v>
      </c>
      <c r="S605" s="4">
        <v>36</v>
      </c>
      <c r="T605" s="4">
        <v>37</v>
      </c>
      <c r="U605" s="4">
        <v>38</v>
      </c>
      <c r="V605" s="4">
        <v>39</v>
      </c>
      <c r="W605" s="4">
        <v>40</v>
      </c>
      <c r="X605" s="4">
        <v>41</v>
      </c>
      <c r="AY605" t="s">
        <v>65</v>
      </c>
      <c r="AZ605" t="s">
        <v>64</v>
      </c>
    </row>
  </sheetData>
  <sheetProtection algorithmName="SHA-512" hashValue="tBTHebrtkmuVgIez00EAukbo5gKKjT0HE44Ro8t/ulsbEkbNIyLrra/akTUOSGTzgul4Vj4k5ZLJ/omtKOZABg==" saltValue="P1nBSGLKo2HecKlyI5yfGA==" spinCount="100000" sheet="1" objects="1" scenarios="1"/>
  <mergeCells count="34">
    <mergeCell ref="I28:L28"/>
    <mergeCell ref="M28:M29"/>
    <mergeCell ref="N28:Q28"/>
    <mergeCell ref="A28:A29"/>
    <mergeCell ref="B28:B29"/>
    <mergeCell ref="C28:C29"/>
    <mergeCell ref="D28:G28"/>
    <mergeCell ref="H28:H29"/>
    <mergeCell ref="AH85:AK85"/>
    <mergeCell ref="X85:AA85"/>
    <mergeCell ref="AB85:AB86"/>
    <mergeCell ref="AC85:AF85"/>
    <mergeCell ref="AG85:AG86"/>
    <mergeCell ref="A85:A86"/>
    <mergeCell ref="B85:B86"/>
    <mergeCell ref="C85:C86"/>
    <mergeCell ref="D85:G85"/>
    <mergeCell ref="H85:H86"/>
    <mergeCell ref="W85:W86"/>
    <mergeCell ref="I85:L85"/>
    <mergeCell ref="M85:M86"/>
    <mergeCell ref="N85:Q85"/>
    <mergeCell ref="R85:R86"/>
    <mergeCell ref="S85:V85"/>
    <mergeCell ref="K125:N125"/>
    <mergeCell ref="A111:A112"/>
    <mergeCell ref="B111:B112"/>
    <mergeCell ref="C111:C112"/>
    <mergeCell ref="D111:G111"/>
    <mergeCell ref="H111:H112"/>
    <mergeCell ref="A125:A126"/>
    <mergeCell ref="B125:B126"/>
    <mergeCell ref="C125:F125"/>
    <mergeCell ref="G125:J125"/>
  </mergeCells>
  <dataValidations count="3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17:L19 D17:G19 I88:L90 D12:G14 E47:Q49 D88:G90 I12:L14 D113:G120 N17:Q19 N88:Q90 N12:Q14 I22:L24 D22:G24 I35:L45 N22:Q24 C47:C49 S88:V90 N35:Q45 D31:D45 E35:G45 E50:G73 I50:L73 N50:Q73 D47:D73">
      <formula1>-1000000000</formula1>
    </dataValidation>
    <dataValidation type="decimal" operator="greaterThan" allowBlank="1" showInputMessage="1" showErrorMessage="1" sqref="C99:H99">
      <formula1>-1000000000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54" firstPageNumber="0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T253"/>
  <sheetViews>
    <sheetView showGridLines="0" view="pageBreakPreview" zoomScale="60" zoomScaleNormal="60" workbookViewId="0">
      <pane xSplit="2" ySplit="8" topLeftCell="C59" activePane="bottomRight" state="frozen"/>
      <selection pane="topRight" activeCell="C1" sqref="C1"/>
      <selection pane="bottomLeft" activeCell="A9" sqref="A9"/>
      <selection pane="bottomRight" activeCell="L132" sqref="L132"/>
    </sheetView>
  </sheetViews>
  <sheetFormatPr defaultRowHeight="15" outlineLevelRow="3" x14ac:dyDescent="0.25"/>
  <cols>
    <col min="1" max="1" width="62.42578125" style="14" customWidth="1"/>
    <col min="2" max="2" width="12.7109375" style="82" customWidth="1"/>
    <col min="3" max="17" width="13.7109375" style="33" customWidth="1"/>
    <col min="18" max="18" width="9.42578125"/>
    <col min="19" max="19" width="35.28515625" customWidth="1"/>
    <col min="20" max="20" width="10.42578125" customWidth="1"/>
    <col min="21" max="1024" width="8.5703125"/>
  </cols>
  <sheetData>
    <row r="1" spans="1:20" ht="15" customHeight="1" outlineLevel="1" x14ac:dyDescent="0.25">
      <c r="A1" s="18"/>
      <c r="B1" s="257" t="s">
        <v>10</v>
      </c>
      <c r="R1" s="4"/>
    </row>
    <row r="2" spans="1:20" ht="15" customHeight="1" outlineLevel="1" x14ac:dyDescent="0.25">
      <c r="A2" s="17" t="s">
        <v>9</v>
      </c>
      <c r="B2" s="258"/>
    </row>
    <row r="3" spans="1:20" ht="15" customHeight="1" outlineLevel="1" x14ac:dyDescent="0.25">
      <c r="A3" s="17" t="s">
        <v>62</v>
      </c>
      <c r="B3" s="392"/>
    </row>
    <row r="4" spans="1:20" ht="15" customHeight="1" outlineLevel="1" x14ac:dyDescent="0.25">
      <c r="A4" s="17" t="s">
        <v>60</v>
      </c>
      <c r="B4" s="245"/>
    </row>
    <row r="5" spans="1:20" ht="15" customHeight="1" outlineLevel="1" x14ac:dyDescent="0.25">
      <c r="A5" s="17" t="s">
        <v>61</v>
      </c>
      <c r="B5" s="260"/>
      <c r="E5" s="83"/>
      <c r="F5" s="83"/>
      <c r="L5" s="83"/>
    </row>
    <row r="6" spans="1:20" ht="15" customHeight="1" collapsed="1" thickBot="1" x14ac:dyDescent="0.3"/>
    <row r="7" spans="1:20" ht="15" customHeight="1" x14ac:dyDescent="0.25">
      <c r="A7" s="616" t="s">
        <v>16</v>
      </c>
      <c r="B7" s="591" t="s">
        <v>42</v>
      </c>
      <c r="C7" s="611" t="str">
        <f>YEAR(Test_date)&amp;" год"</f>
        <v>2019 год</v>
      </c>
      <c r="D7" s="612"/>
      <c r="E7" s="612"/>
      <c r="F7" s="613"/>
      <c r="G7" s="614" t="str">
        <f>C7</f>
        <v>2019 год</v>
      </c>
      <c r="H7" s="611" t="str">
        <f>(LEFT(C7,4)+1)&amp;" год"</f>
        <v>2020 год</v>
      </c>
      <c r="I7" s="612"/>
      <c r="J7" s="612"/>
      <c r="K7" s="613"/>
      <c r="L7" s="614" t="str">
        <f>H7</f>
        <v>2020 год</v>
      </c>
      <c r="M7" s="611" t="str">
        <f>(LEFT(H7,4)+1)&amp;" год"</f>
        <v>2021 год</v>
      </c>
      <c r="N7" s="612"/>
      <c r="O7" s="612"/>
      <c r="P7" s="613"/>
      <c r="Q7" s="614" t="str">
        <f>M7</f>
        <v>2021 год</v>
      </c>
      <c r="S7" s="10"/>
      <c r="T7" s="10"/>
    </row>
    <row r="8" spans="1:20" ht="15" customHeight="1" thickBot="1" x14ac:dyDescent="0.3">
      <c r="A8" s="617"/>
      <c r="B8" s="592"/>
      <c r="C8" s="540">
        <v>1</v>
      </c>
      <c r="D8" s="541">
        <v>2</v>
      </c>
      <c r="E8" s="541">
        <v>3</v>
      </c>
      <c r="F8" s="542">
        <v>4</v>
      </c>
      <c r="G8" s="615"/>
      <c r="H8" s="540">
        <v>1</v>
      </c>
      <c r="I8" s="541">
        <v>2</v>
      </c>
      <c r="J8" s="541">
        <v>3</v>
      </c>
      <c r="K8" s="542">
        <v>4</v>
      </c>
      <c r="L8" s="615"/>
      <c r="M8" s="540">
        <v>1</v>
      </c>
      <c r="N8" s="541">
        <v>2</v>
      </c>
      <c r="O8" s="541">
        <v>3</v>
      </c>
      <c r="P8" s="542">
        <v>4</v>
      </c>
      <c r="Q8" s="615"/>
      <c r="S8" s="10"/>
      <c r="T8" s="10"/>
    </row>
    <row r="9" spans="1:20" s="10" customFormat="1" ht="15" customHeight="1" x14ac:dyDescent="0.25">
      <c r="A9" s="395" t="s">
        <v>44</v>
      </c>
      <c r="B9" s="396" t="s">
        <v>102</v>
      </c>
      <c r="C9" s="382">
        <f>ROUND(C12+C11+C10,3)</f>
        <v>4.5990000000000002</v>
      </c>
      <c r="D9" s="382">
        <f>ROUND(D12+D11+D10,3)</f>
        <v>4.7489999999999997</v>
      </c>
      <c r="E9" s="382">
        <f>ROUND(E12+E11+E10,3)</f>
        <v>4.5110000000000001</v>
      </c>
      <c r="F9" s="383">
        <f>ROUND(F12+F11+F10,3)</f>
        <v>4.4669999999999996</v>
      </c>
      <c r="G9" s="261">
        <f>ROUND(G10+G11+G12,3)</f>
        <v>4.5990000000000002</v>
      </c>
      <c r="H9" s="382">
        <f>ROUND(H12+H11+H10,3)</f>
        <v>4.5339999999999998</v>
      </c>
      <c r="I9" s="382">
        <f>ROUND(I12+I11+I10,3)</f>
        <v>4.6900000000000004</v>
      </c>
      <c r="J9" s="382">
        <f>ROUND(J12+J11+J10,3)</f>
        <v>4.4589999999999996</v>
      </c>
      <c r="K9" s="383">
        <f>ROUND(K12+K11+K10,3)</f>
        <v>4.4210000000000003</v>
      </c>
      <c r="L9" s="261">
        <f>ROUND(L10+L11+L12,3)</f>
        <v>4.5339999999999998</v>
      </c>
      <c r="M9" s="382">
        <f>ROUND(M12+M11+M10,3)</f>
        <v>4.4939999999999998</v>
      </c>
      <c r="N9" s="382">
        <f>ROUND(N12+N11+N10,3)</f>
        <v>4.657</v>
      </c>
      <c r="O9" s="382">
        <f>ROUND(O12+O11+O10,3)</f>
        <v>4.4329999999999998</v>
      </c>
      <c r="P9" s="383">
        <f>ROUND(P12+P11+P10,3)</f>
        <v>4.4020000000000001</v>
      </c>
      <c r="Q9" s="261">
        <f>ROUND(Q10+Q11+Q12,3)</f>
        <v>4.4939999999999998</v>
      </c>
    </row>
    <row r="10" spans="1:20" s="14" customFormat="1" ht="15" customHeight="1" outlineLevel="1" x14ac:dyDescent="0.25">
      <c r="A10" s="249" t="s">
        <v>114</v>
      </c>
      <c r="B10" s="246" t="s">
        <v>102</v>
      </c>
      <c r="C10" s="262">
        <f>ROUND(G10,3)</f>
        <v>3.819</v>
      </c>
      <c r="D10" s="263">
        <f t="shared" ref="D10:F12" si="0">ROUND(C111,3)</f>
        <v>4.008</v>
      </c>
      <c r="E10" s="263">
        <f t="shared" si="0"/>
        <v>3.9020000000000001</v>
      </c>
      <c r="F10" s="264">
        <f t="shared" si="0"/>
        <v>3.855</v>
      </c>
      <c r="G10" s="388">
        <f>ROUND('1.Статистика'!AK88,3)</f>
        <v>3.819</v>
      </c>
      <c r="H10" s="262">
        <f>ROUND(L10,3)</f>
        <v>3.819</v>
      </c>
      <c r="I10" s="263">
        <f t="shared" ref="I10:K12" si="1">ROUND(H111,3)</f>
        <v>4.0119999999999996</v>
      </c>
      <c r="J10" s="263">
        <f t="shared" si="1"/>
        <v>3.911</v>
      </c>
      <c r="K10" s="264">
        <f t="shared" si="1"/>
        <v>3.8679999999999999</v>
      </c>
      <c r="L10" s="388">
        <f>ROUND(F111,3)</f>
        <v>3.819</v>
      </c>
      <c r="M10" s="262">
        <f>ROUND(Q10,3)</f>
        <v>3.8359999999999999</v>
      </c>
      <c r="N10" s="263">
        <f t="shared" ref="N10:P12" si="2">ROUND(M111,3)</f>
        <v>4.0339999999999998</v>
      </c>
      <c r="O10" s="263">
        <f t="shared" si="2"/>
        <v>3.9369999999999998</v>
      </c>
      <c r="P10" s="264">
        <f t="shared" si="2"/>
        <v>3.899</v>
      </c>
      <c r="Q10" s="388">
        <f>ROUND(K111,3)</f>
        <v>3.8359999999999999</v>
      </c>
    </row>
    <row r="11" spans="1:20" s="14" customFormat="1" ht="15" customHeight="1" outlineLevel="1" x14ac:dyDescent="0.25">
      <c r="A11" s="249" t="s">
        <v>89</v>
      </c>
      <c r="B11" s="246" t="s">
        <v>102</v>
      </c>
      <c r="C11" s="262">
        <f>ROUND(G11,3)</f>
        <v>0.47599999999999998</v>
      </c>
      <c r="D11" s="263">
        <f t="shared" si="0"/>
        <v>0.44</v>
      </c>
      <c r="E11" s="263">
        <f t="shared" si="0"/>
        <v>0.44500000000000001</v>
      </c>
      <c r="F11" s="264">
        <f t="shared" si="0"/>
        <v>0.45100000000000001</v>
      </c>
      <c r="G11" s="388">
        <f>ROUND('1.Статистика'!AK89,3)</f>
        <v>0.47599999999999998</v>
      </c>
      <c r="H11" s="262">
        <f>ROUND(L11,3)</f>
        <v>0.45700000000000002</v>
      </c>
      <c r="I11" s="263">
        <f t="shared" si="1"/>
        <v>0.42299999999999999</v>
      </c>
      <c r="J11" s="263">
        <f t="shared" si="1"/>
        <v>0.43</v>
      </c>
      <c r="K11" s="264">
        <f t="shared" si="1"/>
        <v>0.438</v>
      </c>
      <c r="L11" s="388">
        <f>ROUND(F112,3)</f>
        <v>0.45700000000000002</v>
      </c>
      <c r="M11" s="262">
        <f>ROUND(Q11,3)</f>
        <v>0.44600000000000001</v>
      </c>
      <c r="N11" s="263">
        <f t="shared" si="2"/>
        <v>0.41399999999999998</v>
      </c>
      <c r="O11" s="263">
        <f t="shared" si="2"/>
        <v>0.42299999999999999</v>
      </c>
      <c r="P11" s="264">
        <f t="shared" si="2"/>
        <v>0.433</v>
      </c>
      <c r="Q11" s="388">
        <f>ROUND(K112,3)</f>
        <v>0.44600000000000001</v>
      </c>
    </row>
    <row r="12" spans="1:20" s="14" customFormat="1" ht="15" customHeight="1" outlineLevel="1" x14ac:dyDescent="0.25">
      <c r="A12" s="249" t="s">
        <v>90</v>
      </c>
      <c r="B12" s="246" t="s">
        <v>102</v>
      </c>
      <c r="C12" s="262">
        <f>ROUND(G12,3)</f>
        <v>0.30399999999999999</v>
      </c>
      <c r="D12" s="263">
        <f t="shared" si="0"/>
        <v>0.30099999999999999</v>
      </c>
      <c r="E12" s="263">
        <f t="shared" si="0"/>
        <v>0.16400000000000001</v>
      </c>
      <c r="F12" s="264">
        <f t="shared" si="0"/>
        <v>0.161</v>
      </c>
      <c r="G12" s="388">
        <f>ROUND('1.Статистика'!AK90,3)</f>
        <v>0.30399999999999999</v>
      </c>
      <c r="H12" s="262">
        <f>ROUND(L12,3)</f>
        <v>0.25800000000000001</v>
      </c>
      <c r="I12" s="263">
        <f t="shared" si="1"/>
        <v>0.255</v>
      </c>
      <c r="J12" s="263">
        <f t="shared" si="1"/>
        <v>0.11799999999999999</v>
      </c>
      <c r="K12" s="264">
        <f t="shared" si="1"/>
        <v>0.115</v>
      </c>
      <c r="L12" s="388">
        <f>ROUND(F113,3)</f>
        <v>0.25800000000000001</v>
      </c>
      <c r="M12" s="262">
        <f>ROUND(Q12,3)</f>
        <v>0.21199999999999999</v>
      </c>
      <c r="N12" s="263">
        <f t="shared" si="2"/>
        <v>0.20899999999999999</v>
      </c>
      <c r="O12" s="263">
        <f t="shared" si="2"/>
        <v>7.2999999999999995E-2</v>
      </c>
      <c r="P12" s="264">
        <f t="shared" si="2"/>
        <v>7.0000000000000007E-2</v>
      </c>
      <c r="Q12" s="388">
        <f>ROUND(K113,3)</f>
        <v>0.21199999999999999</v>
      </c>
    </row>
    <row r="13" spans="1:20" s="16" customFormat="1" ht="15" customHeight="1" x14ac:dyDescent="0.25">
      <c r="A13" s="397" t="s">
        <v>103</v>
      </c>
      <c r="B13" s="398" t="s">
        <v>102</v>
      </c>
      <c r="C13" s="384">
        <f t="shared" ref="C13:Q13" si="3">ROUND(C14+C19+C24,3)</f>
        <v>1.1000000000000001</v>
      </c>
      <c r="D13" s="384">
        <f t="shared" si="3"/>
        <v>0.8</v>
      </c>
      <c r="E13" s="384">
        <f t="shared" si="3"/>
        <v>0.8</v>
      </c>
      <c r="F13" s="385">
        <f t="shared" si="3"/>
        <v>0.97</v>
      </c>
      <c r="G13" s="265">
        <f t="shared" si="3"/>
        <v>3.67</v>
      </c>
      <c r="H13" s="384">
        <f t="shared" si="3"/>
        <v>3</v>
      </c>
      <c r="I13" s="384">
        <f t="shared" si="3"/>
        <v>3</v>
      </c>
      <c r="J13" s="384">
        <f t="shared" si="3"/>
        <v>3</v>
      </c>
      <c r="K13" s="385">
        <f t="shared" si="3"/>
        <v>3</v>
      </c>
      <c r="L13" s="265">
        <f t="shared" si="3"/>
        <v>12</v>
      </c>
      <c r="M13" s="384">
        <f t="shared" si="3"/>
        <v>3.85</v>
      </c>
      <c r="N13" s="384">
        <f t="shared" si="3"/>
        <v>4</v>
      </c>
      <c r="O13" s="384">
        <f t="shared" si="3"/>
        <v>4.1100000000000003</v>
      </c>
      <c r="P13" s="385">
        <f t="shared" si="3"/>
        <v>4.04</v>
      </c>
      <c r="Q13" s="265">
        <f t="shared" si="3"/>
        <v>16</v>
      </c>
    </row>
    <row r="14" spans="1:20" s="82" customFormat="1" ht="15" customHeight="1" outlineLevel="1" x14ac:dyDescent="0.25">
      <c r="A14" s="249" t="s">
        <v>94</v>
      </c>
      <c r="B14" s="109" t="s">
        <v>102</v>
      </c>
      <c r="C14" s="266">
        <f t="shared" ref="C14:Q14" si="4">ROUND(C15+C16-C17+C18,3)</f>
        <v>0.93300000000000005</v>
      </c>
      <c r="D14" s="266">
        <f t="shared" si="4"/>
        <v>0.66300000000000003</v>
      </c>
      <c r="E14" s="266">
        <f t="shared" si="4"/>
        <v>0.66300000000000003</v>
      </c>
      <c r="F14" s="267">
        <f t="shared" si="4"/>
        <v>0.83</v>
      </c>
      <c r="G14" s="389">
        <f t="shared" si="4"/>
        <v>3.089</v>
      </c>
      <c r="H14" s="266">
        <f t="shared" si="4"/>
        <v>2.8330000000000002</v>
      </c>
      <c r="I14" s="266">
        <f t="shared" si="4"/>
        <v>2.863</v>
      </c>
      <c r="J14" s="266">
        <f t="shared" si="4"/>
        <v>2.863</v>
      </c>
      <c r="K14" s="267">
        <f t="shared" si="4"/>
        <v>2.86</v>
      </c>
      <c r="L14" s="389">
        <f t="shared" si="4"/>
        <v>11.419</v>
      </c>
      <c r="M14" s="266">
        <f t="shared" si="4"/>
        <v>3.3330000000000002</v>
      </c>
      <c r="N14" s="266">
        <f t="shared" si="4"/>
        <v>3.613</v>
      </c>
      <c r="O14" s="266">
        <f t="shared" si="4"/>
        <v>3.6230000000000002</v>
      </c>
      <c r="P14" s="267">
        <f t="shared" si="4"/>
        <v>3.6</v>
      </c>
      <c r="Q14" s="389">
        <f t="shared" si="4"/>
        <v>14.169</v>
      </c>
    </row>
    <row r="15" spans="1:20" s="95" customFormat="1" ht="14.65" customHeight="1" outlineLevel="1" x14ac:dyDescent="0.25">
      <c r="A15" s="250" t="s">
        <v>99</v>
      </c>
      <c r="B15" s="110" t="s">
        <v>102</v>
      </c>
      <c r="C15" s="268">
        <f>ROUND('1.Статистика'!N35,3)</f>
        <v>2.5539999999999998</v>
      </c>
      <c r="D15" s="268">
        <f>ROUND('1.Статистика'!O35,3)</f>
        <v>2.5539999999999998</v>
      </c>
      <c r="E15" s="268">
        <f>ROUND('1.Статистика'!P35,3)</f>
        <v>2.5550000000000002</v>
      </c>
      <c r="F15" s="269">
        <f>ROUND('1.Статистика'!Q35,3)</f>
        <v>2.5550000000000002</v>
      </c>
      <c r="G15" s="270">
        <f>ROUND(SUM(C15:F15),3)</f>
        <v>10.218</v>
      </c>
      <c r="H15" s="271">
        <f>ROUND(C14,3)</f>
        <v>0.93300000000000005</v>
      </c>
      <c r="I15" s="271">
        <f>ROUND(D14,3)</f>
        <v>0.66300000000000003</v>
      </c>
      <c r="J15" s="271">
        <f>ROUND(E14,3)</f>
        <v>0.66300000000000003</v>
      </c>
      <c r="K15" s="272">
        <f>ROUND(F14,3)</f>
        <v>0.83</v>
      </c>
      <c r="L15" s="270">
        <f>ROUND(SUM(H15:K15),3)</f>
        <v>3.089</v>
      </c>
      <c r="M15" s="271">
        <f>ROUND(H14,3)</f>
        <v>2.8330000000000002</v>
      </c>
      <c r="N15" s="271">
        <f>ROUND(I14,3)</f>
        <v>2.863</v>
      </c>
      <c r="O15" s="271">
        <f>ROUND(J14,3)</f>
        <v>2.863</v>
      </c>
      <c r="P15" s="272">
        <f>ROUND(K14,3)</f>
        <v>2.86</v>
      </c>
      <c r="Q15" s="270">
        <f>ROUND(SUM(M15:P15),3)</f>
        <v>11.419</v>
      </c>
    </row>
    <row r="16" spans="1:20" s="95" customFormat="1" ht="30" customHeight="1" outlineLevel="1" x14ac:dyDescent="0.25">
      <c r="A16" s="250" t="s">
        <v>95</v>
      </c>
      <c r="B16" s="110" t="s">
        <v>102</v>
      </c>
      <c r="C16" s="268">
        <f>ROUND('1.Статистика'!D12,3)</f>
        <v>0</v>
      </c>
      <c r="D16" s="268">
        <f>ROUND('1.Статистика'!E12,3)</f>
        <v>0</v>
      </c>
      <c r="E16" s="268">
        <f>ROUND('1.Статистика'!F12,3)</f>
        <v>0</v>
      </c>
      <c r="F16" s="269">
        <f>ROUND('1.Статистика'!G12,3)</f>
        <v>0</v>
      </c>
      <c r="G16" s="270">
        <f>ROUND(SUM(C16:F16),3)</f>
        <v>0</v>
      </c>
      <c r="H16" s="268">
        <f>ROUND('1.Статистика'!I12,3)</f>
        <v>0</v>
      </c>
      <c r="I16" s="268">
        <f>ROUND('1.Статистика'!J12,3)</f>
        <v>0</v>
      </c>
      <c r="J16" s="268">
        <f>ROUND('1.Статистика'!K12,3)</f>
        <v>0</v>
      </c>
      <c r="K16" s="269">
        <f>ROUND('1.Статистика'!L12,3)</f>
        <v>0</v>
      </c>
      <c r="L16" s="270">
        <f>ROUND(SUM(H16:K16),3)</f>
        <v>0</v>
      </c>
      <c r="M16" s="268">
        <f>ROUND('1.Статистика'!N12,3)</f>
        <v>0</v>
      </c>
      <c r="N16" s="268">
        <f>ROUND('1.Статистика'!O12,3)</f>
        <v>0</v>
      </c>
      <c r="O16" s="268">
        <f>ROUND('1.Статистика'!P12,3)</f>
        <v>0</v>
      </c>
      <c r="P16" s="269">
        <f>ROUND('1.Статистика'!Q12,3)</f>
        <v>0</v>
      </c>
      <c r="Q16" s="270">
        <f>ROUND(SUM(M16:P16),3)</f>
        <v>0</v>
      </c>
    </row>
    <row r="17" spans="1:18" s="82" customFormat="1" ht="30" customHeight="1" outlineLevel="1" x14ac:dyDescent="0.25">
      <c r="A17" s="250" t="s">
        <v>96</v>
      </c>
      <c r="B17" s="110" t="s">
        <v>102</v>
      </c>
      <c r="C17" s="446"/>
      <c r="D17" s="447"/>
      <c r="E17" s="447"/>
      <c r="F17" s="448"/>
      <c r="G17" s="270">
        <f>ROUND(SUM(C17:F17),3)</f>
        <v>0</v>
      </c>
      <c r="H17" s="446"/>
      <c r="I17" s="447"/>
      <c r="J17" s="447"/>
      <c r="K17" s="448"/>
      <c r="L17" s="270">
        <f>ROUND(SUM(H17:K17),3)</f>
        <v>0</v>
      </c>
      <c r="M17" s="446"/>
      <c r="N17" s="447"/>
      <c r="O17" s="447"/>
      <c r="P17" s="448"/>
      <c r="Q17" s="270">
        <f>ROUND(SUM(M17:P17),3)</f>
        <v>0</v>
      </c>
    </row>
    <row r="18" spans="1:18" s="82" customFormat="1" ht="31.5" customHeight="1" outlineLevel="1" x14ac:dyDescent="0.25">
      <c r="A18" s="250" t="s">
        <v>97</v>
      </c>
      <c r="B18" s="110" t="s">
        <v>102</v>
      </c>
      <c r="C18" s="273">
        <v>-1.621</v>
      </c>
      <c r="D18" s="273">
        <v>-1.891</v>
      </c>
      <c r="E18" s="273">
        <v>-1.8919999999999999</v>
      </c>
      <c r="F18" s="274">
        <v>-1.7250000000000001</v>
      </c>
      <c r="G18" s="270">
        <f>ROUND(SUM(C18:F18),3)</f>
        <v>-7.1289999999999996</v>
      </c>
      <c r="H18" s="273">
        <v>1.9</v>
      </c>
      <c r="I18" s="273">
        <v>2.2000000000000002</v>
      </c>
      <c r="J18" s="273">
        <v>2.2000000000000002</v>
      </c>
      <c r="K18" s="274">
        <v>2.0299999999999998</v>
      </c>
      <c r="L18" s="270">
        <f>ROUND(SUM(H18:K18),3)</f>
        <v>8.33</v>
      </c>
      <c r="M18" s="273">
        <v>0.5</v>
      </c>
      <c r="N18" s="273">
        <v>0.75</v>
      </c>
      <c r="O18" s="273">
        <v>0.76</v>
      </c>
      <c r="P18" s="274">
        <v>0.74</v>
      </c>
      <c r="Q18" s="270">
        <f>ROUND(SUM(M18:P18),3)</f>
        <v>2.75</v>
      </c>
    </row>
    <row r="19" spans="1:18" s="82" customFormat="1" ht="15" customHeight="1" outlineLevel="1" x14ac:dyDescent="0.25">
      <c r="A19" s="251" t="s">
        <v>89</v>
      </c>
      <c r="B19" s="109" t="s">
        <v>102</v>
      </c>
      <c r="C19" s="266">
        <f t="shared" ref="C19:Q19" si="5">ROUND(C20+C21-C22+C23,3)</f>
        <v>0.11</v>
      </c>
      <c r="D19" s="266">
        <f t="shared" si="5"/>
        <v>0.08</v>
      </c>
      <c r="E19" s="266">
        <f t="shared" si="5"/>
        <v>0.08</v>
      </c>
      <c r="F19" s="267">
        <f t="shared" si="5"/>
        <v>8.3000000000000004E-2</v>
      </c>
      <c r="G19" s="389">
        <f t="shared" si="5"/>
        <v>0.35299999999999998</v>
      </c>
      <c r="H19" s="266">
        <f t="shared" si="5"/>
        <v>0.11</v>
      </c>
      <c r="I19" s="266">
        <f t="shared" si="5"/>
        <v>0.08</v>
      </c>
      <c r="J19" s="266">
        <f t="shared" si="5"/>
        <v>0.08</v>
      </c>
      <c r="K19" s="267">
        <f t="shared" si="5"/>
        <v>8.3000000000000004E-2</v>
      </c>
      <c r="L19" s="389">
        <f t="shared" si="5"/>
        <v>0.35299999999999998</v>
      </c>
      <c r="M19" s="266">
        <f t="shared" si="5"/>
        <v>0.16</v>
      </c>
      <c r="N19" s="266">
        <f t="shared" si="5"/>
        <v>0.13</v>
      </c>
      <c r="O19" s="266">
        <f t="shared" si="5"/>
        <v>0.13</v>
      </c>
      <c r="P19" s="267">
        <f t="shared" si="5"/>
        <v>0.13300000000000001</v>
      </c>
      <c r="Q19" s="389">
        <f t="shared" si="5"/>
        <v>0.55300000000000005</v>
      </c>
    </row>
    <row r="20" spans="1:18" s="95" customFormat="1" ht="14.65" customHeight="1" outlineLevel="1" x14ac:dyDescent="0.25">
      <c r="A20" s="250" t="s">
        <v>99</v>
      </c>
      <c r="B20" s="110" t="s">
        <v>102</v>
      </c>
      <c r="C20" s="268">
        <f>ROUND('1.Статистика'!N36,3)</f>
        <v>0.184</v>
      </c>
      <c r="D20" s="268">
        <f>ROUND('1.Статистика'!O36,3)</f>
        <v>0.184</v>
      </c>
      <c r="E20" s="268">
        <f>ROUND('1.Статистика'!P36,3)</f>
        <v>0.184</v>
      </c>
      <c r="F20" s="269">
        <f>ROUND('1.Статистика'!Q36,3)</f>
        <v>0.184</v>
      </c>
      <c r="G20" s="270">
        <f>ROUND(SUM(C20:F20),3)</f>
        <v>0.73599999999999999</v>
      </c>
      <c r="H20" s="271">
        <f>ROUND(C19,3)</f>
        <v>0.11</v>
      </c>
      <c r="I20" s="271">
        <f>ROUND(D19,3)</f>
        <v>0.08</v>
      </c>
      <c r="J20" s="271">
        <f>ROUND(E19,3)</f>
        <v>0.08</v>
      </c>
      <c r="K20" s="272">
        <f>ROUND(F19,3)</f>
        <v>8.3000000000000004E-2</v>
      </c>
      <c r="L20" s="270">
        <f>ROUND(SUM(H20:K20),3)</f>
        <v>0.35299999999999998</v>
      </c>
      <c r="M20" s="271">
        <f>ROUND(H19,3)</f>
        <v>0.11</v>
      </c>
      <c r="N20" s="271">
        <f>ROUND(I19,3)</f>
        <v>0.08</v>
      </c>
      <c r="O20" s="271">
        <f>ROUND(J19,3)</f>
        <v>0.08</v>
      </c>
      <c r="P20" s="272">
        <f>ROUND(K19,3)</f>
        <v>8.3000000000000004E-2</v>
      </c>
      <c r="Q20" s="270">
        <f>ROUND(SUM(M20:P20),3)</f>
        <v>0.35299999999999998</v>
      </c>
    </row>
    <row r="21" spans="1:18" s="95" customFormat="1" ht="30" customHeight="1" outlineLevel="1" x14ac:dyDescent="0.25">
      <c r="A21" s="250" t="s">
        <v>95</v>
      </c>
      <c r="B21" s="110" t="s">
        <v>102</v>
      </c>
      <c r="C21" s="268">
        <f>ROUND('1.Статистика'!D13,3)</f>
        <v>0</v>
      </c>
      <c r="D21" s="268">
        <f>ROUND('1.Статистика'!E13,3)</f>
        <v>0</v>
      </c>
      <c r="E21" s="268">
        <f>ROUND('1.Статистика'!F13,3)</f>
        <v>0</v>
      </c>
      <c r="F21" s="269">
        <f>ROUND('1.Статистика'!G13,3)</f>
        <v>0</v>
      </c>
      <c r="G21" s="270">
        <f>ROUND(SUM(C21:F21),3)</f>
        <v>0</v>
      </c>
      <c r="H21" s="268">
        <f>ROUND('1.Статистика'!I13,3)</f>
        <v>0</v>
      </c>
      <c r="I21" s="268">
        <f>ROUND('1.Статистика'!J13,3)</f>
        <v>0</v>
      </c>
      <c r="J21" s="268">
        <f>ROUND('1.Статистика'!K13,3)</f>
        <v>0</v>
      </c>
      <c r="K21" s="269">
        <f>ROUND('1.Статистика'!L13,3)</f>
        <v>0</v>
      </c>
      <c r="L21" s="270">
        <f>ROUND(SUM(H21:K21),3)</f>
        <v>0</v>
      </c>
      <c r="M21" s="268">
        <f>ROUND('1.Статистика'!N13,3)</f>
        <v>0</v>
      </c>
      <c r="N21" s="268">
        <f>ROUND('1.Статистика'!O13,3)</f>
        <v>0</v>
      </c>
      <c r="O21" s="268">
        <f>ROUND('1.Статистика'!P13,3)</f>
        <v>0</v>
      </c>
      <c r="P21" s="269">
        <f>ROUND('1.Статистика'!Q13,3)</f>
        <v>0</v>
      </c>
      <c r="Q21" s="270">
        <f>ROUND(SUM(M21:P21),3)</f>
        <v>0</v>
      </c>
    </row>
    <row r="22" spans="1:18" s="82" customFormat="1" ht="32.65" customHeight="1" outlineLevel="1" x14ac:dyDescent="0.25">
      <c r="A22" s="250" t="s">
        <v>96</v>
      </c>
      <c r="B22" s="110" t="s">
        <v>102</v>
      </c>
      <c r="C22" s="446"/>
      <c r="D22" s="447"/>
      <c r="E22" s="447"/>
      <c r="F22" s="448">
        <v>0</v>
      </c>
      <c r="G22" s="270">
        <f>ROUND(SUM(C22:F22),3)</f>
        <v>0</v>
      </c>
      <c r="H22" s="446"/>
      <c r="I22" s="447"/>
      <c r="J22" s="447"/>
      <c r="K22" s="448"/>
      <c r="L22" s="270">
        <f>ROUND(SUM(H22:K22),3)</f>
        <v>0</v>
      </c>
      <c r="M22" s="446"/>
      <c r="N22" s="447"/>
      <c r="O22" s="447"/>
      <c r="P22" s="448"/>
      <c r="Q22" s="270">
        <f>ROUND(SUM(M22:P22),3)</f>
        <v>0</v>
      </c>
    </row>
    <row r="23" spans="1:18" s="82" customFormat="1" ht="31.5" customHeight="1" outlineLevel="1" x14ac:dyDescent="0.25">
      <c r="A23" s="250" t="s">
        <v>97</v>
      </c>
      <c r="B23" s="110" t="s">
        <v>102</v>
      </c>
      <c r="C23" s="273">
        <v>-7.3999999999999996E-2</v>
      </c>
      <c r="D23" s="273">
        <v>-0.104</v>
      </c>
      <c r="E23" s="273">
        <v>-0.104</v>
      </c>
      <c r="F23" s="274">
        <v>-0.10100000000000001</v>
      </c>
      <c r="G23" s="270">
        <f>ROUND(SUM(C23:F23),3)</f>
        <v>-0.38300000000000001</v>
      </c>
      <c r="H23" s="273">
        <v>0</v>
      </c>
      <c r="I23" s="273">
        <v>0</v>
      </c>
      <c r="J23" s="273">
        <v>0</v>
      </c>
      <c r="K23" s="274">
        <v>0</v>
      </c>
      <c r="L23" s="270">
        <f>ROUND(SUM(H23:K23),3)</f>
        <v>0</v>
      </c>
      <c r="M23" s="273">
        <v>0.05</v>
      </c>
      <c r="N23" s="273">
        <v>0.05</v>
      </c>
      <c r="O23" s="273">
        <v>0.05</v>
      </c>
      <c r="P23" s="274">
        <v>0.05</v>
      </c>
      <c r="Q23" s="270">
        <f>ROUND(SUM(M23:P23),3)</f>
        <v>0.2</v>
      </c>
    </row>
    <row r="24" spans="1:18" s="82" customFormat="1" ht="15" customHeight="1" outlineLevel="1" x14ac:dyDescent="0.25">
      <c r="A24" s="251" t="s">
        <v>90</v>
      </c>
      <c r="B24" s="109" t="s">
        <v>102</v>
      </c>
      <c r="C24" s="266">
        <f t="shared" ref="C24:Q24" si="6">ROUND(C25+C26-C27+C28,3)</f>
        <v>5.7000000000000002E-2</v>
      </c>
      <c r="D24" s="266">
        <f t="shared" si="6"/>
        <v>5.7000000000000002E-2</v>
      </c>
      <c r="E24" s="266">
        <f t="shared" si="6"/>
        <v>5.7000000000000002E-2</v>
      </c>
      <c r="F24" s="267">
        <f t="shared" si="6"/>
        <v>5.7000000000000002E-2</v>
      </c>
      <c r="G24" s="389">
        <f t="shared" si="6"/>
        <v>0.22800000000000001</v>
      </c>
      <c r="H24" s="266">
        <f t="shared" si="6"/>
        <v>5.7000000000000002E-2</v>
      </c>
      <c r="I24" s="266">
        <f t="shared" si="6"/>
        <v>5.7000000000000002E-2</v>
      </c>
      <c r="J24" s="266">
        <f t="shared" si="6"/>
        <v>5.7000000000000002E-2</v>
      </c>
      <c r="K24" s="267">
        <f t="shared" si="6"/>
        <v>5.7000000000000002E-2</v>
      </c>
      <c r="L24" s="389">
        <f t="shared" si="6"/>
        <v>0.22800000000000001</v>
      </c>
      <c r="M24" s="266">
        <f t="shared" si="6"/>
        <v>0.35699999999999998</v>
      </c>
      <c r="N24" s="266">
        <f t="shared" si="6"/>
        <v>0.25700000000000001</v>
      </c>
      <c r="O24" s="266">
        <f t="shared" si="6"/>
        <v>0.35699999999999998</v>
      </c>
      <c r="P24" s="267">
        <f t="shared" si="6"/>
        <v>0.307</v>
      </c>
      <c r="Q24" s="389">
        <f t="shared" si="6"/>
        <v>1.278</v>
      </c>
    </row>
    <row r="25" spans="1:18" s="95" customFormat="1" ht="14.65" customHeight="1" outlineLevel="1" x14ac:dyDescent="0.25">
      <c r="A25" s="250" t="s">
        <v>99</v>
      </c>
      <c r="B25" s="110" t="s">
        <v>102</v>
      </c>
      <c r="C25" s="268">
        <f>ROUND('1.Статистика'!N37,3)</f>
        <v>5.7000000000000002E-2</v>
      </c>
      <c r="D25" s="268">
        <f>ROUND('1.Статистика'!O37,3)</f>
        <v>5.7000000000000002E-2</v>
      </c>
      <c r="E25" s="268">
        <f>ROUND('1.Статистика'!P37,3)</f>
        <v>5.7000000000000002E-2</v>
      </c>
      <c r="F25" s="269">
        <f>ROUND('1.Статистика'!Q37,3)</f>
        <v>5.7000000000000002E-2</v>
      </c>
      <c r="G25" s="270">
        <f>ROUND(SUM(C25:F25),3)</f>
        <v>0.22800000000000001</v>
      </c>
      <c r="H25" s="271">
        <f>ROUND(C24,3)</f>
        <v>5.7000000000000002E-2</v>
      </c>
      <c r="I25" s="271">
        <f>ROUND(D24,3)</f>
        <v>5.7000000000000002E-2</v>
      </c>
      <c r="J25" s="271">
        <f>ROUND(E24,3)</f>
        <v>5.7000000000000002E-2</v>
      </c>
      <c r="K25" s="272">
        <f>ROUND(F24,3)</f>
        <v>5.7000000000000002E-2</v>
      </c>
      <c r="L25" s="270">
        <f>ROUND(SUM(H25:K25),3)</f>
        <v>0.22800000000000001</v>
      </c>
      <c r="M25" s="271">
        <f>ROUND(H24,3)</f>
        <v>5.7000000000000002E-2</v>
      </c>
      <c r="N25" s="271">
        <f>ROUND(I24,3)</f>
        <v>5.7000000000000002E-2</v>
      </c>
      <c r="O25" s="271">
        <f>ROUND(J24,3)</f>
        <v>5.7000000000000002E-2</v>
      </c>
      <c r="P25" s="272">
        <f>ROUND(K24,3)</f>
        <v>5.7000000000000002E-2</v>
      </c>
      <c r="Q25" s="270">
        <f>ROUND(SUM(M25:P25),3)</f>
        <v>0.22800000000000001</v>
      </c>
    </row>
    <row r="26" spans="1:18" s="95" customFormat="1" ht="30" customHeight="1" outlineLevel="1" x14ac:dyDescent="0.25">
      <c r="A26" s="250" t="s">
        <v>95</v>
      </c>
      <c r="B26" s="110" t="s">
        <v>102</v>
      </c>
      <c r="C26" s="268">
        <f>ROUND('1.Статистика'!D14,3)</f>
        <v>0</v>
      </c>
      <c r="D26" s="268">
        <f>ROUND('1.Статистика'!E14,3)</f>
        <v>0</v>
      </c>
      <c r="E26" s="268">
        <f>ROUND('1.Статистика'!F14,3)</f>
        <v>0</v>
      </c>
      <c r="F26" s="269">
        <f>ROUND('1.Статистика'!G14,3)</f>
        <v>0</v>
      </c>
      <c r="G26" s="270">
        <f>ROUND(SUM(C26:F26),3)</f>
        <v>0</v>
      </c>
      <c r="H26" s="268">
        <f>ROUND('1.Статистика'!I14,3)</f>
        <v>0</v>
      </c>
      <c r="I26" s="268">
        <f>ROUND('1.Статистика'!J14,3)</f>
        <v>0</v>
      </c>
      <c r="J26" s="268">
        <f>ROUND('1.Статистика'!K14,3)</f>
        <v>0</v>
      </c>
      <c r="K26" s="269">
        <f>ROUND('1.Статистика'!L14,3)</f>
        <v>0</v>
      </c>
      <c r="L26" s="270">
        <f>ROUND(SUM(H26:K26),3)</f>
        <v>0</v>
      </c>
      <c r="M26" s="268">
        <f>ROUND('1.Статистика'!N14,3)</f>
        <v>0</v>
      </c>
      <c r="N26" s="268">
        <f>ROUND('1.Статистика'!O14,3)</f>
        <v>0</v>
      </c>
      <c r="O26" s="268">
        <f>ROUND('1.Статистика'!P14,3)</f>
        <v>0</v>
      </c>
      <c r="P26" s="269">
        <f>ROUND('1.Статистика'!Q14,3)</f>
        <v>0</v>
      </c>
      <c r="Q26" s="270">
        <f>ROUND(SUM(M26:P26),3)</f>
        <v>0</v>
      </c>
    </row>
    <row r="27" spans="1:18" s="82" customFormat="1" ht="27.6" customHeight="1" outlineLevel="1" x14ac:dyDescent="0.25">
      <c r="A27" s="250" t="s">
        <v>96</v>
      </c>
      <c r="B27" s="110" t="s">
        <v>102</v>
      </c>
      <c r="C27" s="446"/>
      <c r="D27" s="447"/>
      <c r="E27" s="447"/>
      <c r="F27" s="448"/>
      <c r="G27" s="270">
        <f>ROUND(SUM(C27:F27),3)</f>
        <v>0</v>
      </c>
      <c r="H27" s="446"/>
      <c r="I27" s="447"/>
      <c r="J27" s="447"/>
      <c r="K27" s="448"/>
      <c r="L27" s="270">
        <f>ROUND(SUM(H27:K27),3)</f>
        <v>0</v>
      </c>
      <c r="M27" s="446"/>
      <c r="N27" s="447"/>
      <c r="O27" s="447"/>
      <c r="P27" s="448"/>
      <c r="Q27" s="270">
        <f>ROUND(SUM(M27:P27),3)</f>
        <v>0</v>
      </c>
    </row>
    <row r="28" spans="1:18" s="82" customFormat="1" ht="29.1" customHeight="1" outlineLevel="1" x14ac:dyDescent="0.25">
      <c r="A28" s="250" t="s">
        <v>97</v>
      </c>
      <c r="B28" s="110" t="s">
        <v>102</v>
      </c>
      <c r="C28" s="273">
        <v>0</v>
      </c>
      <c r="D28" s="273">
        <v>0</v>
      </c>
      <c r="E28" s="273">
        <v>0</v>
      </c>
      <c r="F28" s="274">
        <v>0</v>
      </c>
      <c r="G28" s="270">
        <f>ROUND(SUM(C28:F28),3)</f>
        <v>0</v>
      </c>
      <c r="H28" s="273">
        <v>0</v>
      </c>
      <c r="I28" s="273">
        <v>0</v>
      </c>
      <c r="J28" s="273">
        <v>0</v>
      </c>
      <c r="K28" s="274">
        <v>0</v>
      </c>
      <c r="L28" s="270">
        <f>ROUND(SUM(H28:K28),3)</f>
        <v>0</v>
      </c>
      <c r="M28" s="273">
        <v>0.3</v>
      </c>
      <c r="N28" s="273">
        <v>0.2</v>
      </c>
      <c r="O28" s="273">
        <v>0.3</v>
      </c>
      <c r="P28" s="274">
        <v>0.25</v>
      </c>
      <c r="Q28" s="270">
        <f>ROUND(SUM(M28:P28),3)</f>
        <v>1.05</v>
      </c>
    </row>
    <row r="29" spans="1:18" s="16" customFormat="1" ht="15" customHeight="1" x14ac:dyDescent="0.25">
      <c r="A29" s="397" t="s">
        <v>45</v>
      </c>
      <c r="B29" s="398" t="s">
        <v>102</v>
      </c>
      <c r="C29" s="384">
        <f t="shared" ref="C29:Q29" si="7">ROUND(C30+C33+C36,3)</f>
        <v>30.571999999999999</v>
      </c>
      <c r="D29" s="384">
        <f t="shared" si="7"/>
        <v>30.533000000000001</v>
      </c>
      <c r="E29" s="384">
        <f t="shared" si="7"/>
        <v>30.677</v>
      </c>
      <c r="F29" s="385">
        <f t="shared" si="7"/>
        <v>30.556999999999999</v>
      </c>
      <c r="G29" s="265">
        <f t="shared" si="7"/>
        <v>122.339</v>
      </c>
      <c r="H29" s="384">
        <f t="shared" si="7"/>
        <v>28.672000000000001</v>
      </c>
      <c r="I29" s="384">
        <f t="shared" si="7"/>
        <v>28.332999999999998</v>
      </c>
      <c r="J29" s="384">
        <f t="shared" si="7"/>
        <v>28.477</v>
      </c>
      <c r="K29" s="385">
        <f t="shared" si="7"/>
        <v>28.527000000000001</v>
      </c>
      <c r="L29" s="265">
        <f t="shared" si="7"/>
        <v>114.009</v>
      </c>
      <c r="M29" s="384">
        <f t="shared" si="7"/>
        <v>27.821999999999999</v>
      </c>
      <c r="N29" s="384">
        <f t="shared" si="7"/>
        <v>27.332999999999998</v>
      </c>
      <c r="O29" s="384">
        <f t="shared" si="7"/>
        <v>27.367000000000001</v>
      </c>
      <c r="P29" s="385">
        <f t="shared" si="7"/>
        <v>27.486999999999998</v>
      </c>
      <c r="Q29" s="265">
        <f t="shared" si="7"/>
        <v>110.009</v>
      </c>
    </row>
    <row r="30" spans="1:18" ht="15" customHeight="1" outlineLevel="1" x14ac:dyDescent="0.25">
      <c r="A30" s="249" t="s">
        <v>94</v>
      </c>
      <c r="B30" s="247" t="s">
        <v>102</v>
      </c>
      <c r="C30" s="266">
        <f t="shared" ref="C30:Q30" si="8">ROUND(C31+C32,3)</f>
        <v>25.027000000000001</v>
      </c>
      <c r="D30" s="275">
        <f t="shared" si="8"/>
        <v>25.001999999999999</v>
      </c>
      <c r="E30" s="275">
        <f t="shared" si="8"/>
        <v>25.047000000000001</v>
      </c>
      <c r="F30" s="276">
        <f t="shared" si="8"/>
        <v>24.88</v>
      </c>
      <c r="G30" s="389">
        <f t="shared" si="8"/>
        <v>99.956000000000003</v>
      </c>
      <c r="H30" s="266">
        <f t="shared" si="8"/>
        <v>23.126999999999999</v>
      </c>
      <c r="I30" s="275">
        <f t="shared" si="8"/>
        <v>22.802</v>
      </c>
      <c r="J30" s="275">
        <f t="shared" si="8"/>
        <v>22.847000000000001</v>
      </c>
      <c r="K30" s="276">
        <f t="shared" si="8"/>
        <v>22.85</v>
      </c>
      <c r="L30" s="389">
        <f t="shared" si="8"/>
        <v>91.626000000000005</v>
      </c>
      <c r="M30" s="266">
        <f t="shared" si="8"/>
        <v>22.626999999999999</v>
      </c>
      <c r="N30" s="275">
        <f t="shared" si="8"/>
        <v>22.052</v>
      </c>
      <c r="O30" s="275">
        <f t="shared" si="8"/>
        <v>22.087</v>
      </c>
      <c r="P30" s="276">
        <f t="shared" si="8"/>
        <v>22.11</v>
      </c>
      <c r="Q30" s="389">
        <f t="shared" si="8"/>
        <v>88.876000000000005</v>
      </c>
      <c r="R30" s="2"/>
    </row>
    <row r="31" spans="1:18" s="15" customFormat="1" ht="15" customHeight="1" outlineLevel="2" x14ac:dyDescent="0.25">
      <c r="A31" s="252" t="s">
        <v>46</v>
      </c>
      <c r="B31" s="248" t="s">
        <v>102</v>
      </c>
      <c r="C31" s="268">
        <f>ROUND('1.Статистика'!N39,3)</f>
        <v>23.405999999999999</v>
      </c>
      <c r="D31" s="277">
        <f>ROUND('1.Статистика'!O39,3)</f>
        <v>23.111000000000001</v>
      </c>
      <c r="E31" s="277">
        <f>ROUND('1.Статистика'!P39,3)</f>
        <v>23.155000000000001</v>
      </c>
      <c r="F31" s="278">
        <f>ROUND('1.Статистика'!Q39,3)</f>
        <v>23.155000000000001</v>
      </c>
      <c r="G31" s="270">
        <f>ROUND(SUM(C31:F31),3)</f>
        <v>92.826999999999998</v>
      </c>
      <c r="H31" s="268">
        <f>ROUND(C30,3)</f>
        <v>25.027000000000001</v>
      </c>
      <c r="I31" s="268">
        <f>ROUND(D30,3)</f>
        <v>25.001999999999999</v>
      </c>
      <c r="J31" s="268">
        <f>ROUND(E30,3)</f>
        <v>25.047000000000001</v>
      </c>
      <c r="K31" s="269">
        <f>ROUND(F30,3)</f>
        <v>24.88</v>
      </c>
      <c r="L31" s="270">
        <f>ROUND(SUM(H31:K31),3)</f>
        <v>99.956000000000003</v>
      </c>
      <c r="M31" s="268">
        <f>ROUND(H30,3)</f>
        <v>23.126999999999999</v>
      </c>
      <c r="N31" s="268">
        <f>ROUND(I30,3)</f>
        <v>22.802</v>
      </c>
      <c r="O31" s="268">
        <f>ROUND(J30,3)</f>
        <v>22.847000000000001</v>
      </c>
      <c r="P31" s="269">
        <f>ROUND(K30,3)</f>
        <v>22.85</v>
      </c>
      <c r="Q31" s="270">
        <f>ROUND(SUM(M31:P31),3)</f>
        <v>91.626000000000005</v>
      </c>
    </row>
    <row r="32" spans="1:18" s="15" customFormat="1" ht="15" customHeight="1" outlineLevel="2" x14ac:dyDescent="0.25">
      <c r="A32" s="252" t="s">
        <v>47</v>
      </c>
      <c r="B32" s="248" t="s">
        <v>102</v>
      </c>
      <c r="C32" s="273">
        <v>1.621</v>
      </c>
      <c r="D32" s="279">
        <v>1.891</v>
      </c>
      <c r="E32" s="279">
        <v>1.8919999999999999</v>
      </c>
      <c r="F32" s="280">
        <v>1.7250000000000001</v>
      </c>
      <c r="G32" s="270">
        <f>ROUND(SUM(C32:F32),3)</f>
        <v>7.1289999999999996</v>
      </c>
      <c r="H32" s="273">
        <v>-1.9</v>
      </c>
      <c r="I32" s="279">
        <v>-2.2000000000000002</v>
      </c>
      <c r="J32" s="279">
        <v>-2.2000000000000002</v>
      </c>
      <c r="K32" s="280">
        <v>-2.0299999999999998</v>
      </c>
      <c r="L32" s="270">
        <f>ROUND(SUM(H32:K32),3)</f>
        <v>-8.33</v>
      </c>
      <c r="M32" s="273">
        <v>-0.5</v>
      </c>
      <c r="N32" s="279">
        <v>-0.75</v>
      </c>
      <c r="O32" s="279">
        <v>-0.76</v>
      </c>
      <c r="P32" s="280">
        <v>-0.74</v>
      </c>
      <c r="Q32" s="270">
        <f>ROUND(SUM(M32:P32),3)</f>
        <v>-2.75</v>
      </c>
    </row>
    <row r="33" spans="1:20" ht="15" customHeight="1" outlineLevel="1" x14ac:dyDescent="0.25">
      <c r="A33" s="249" t="s">
        <v>89</v>
      </c>
      <c r="B33" s="247" t="s">
        <v>102</v>
      </c>
      <c r="C33" s="266">
        <f t="shared" ref="C33:Q33" si="9">ROUND(C34+C35,3)</f>
        <v>5.0449999999999999</v>
      </c>
      <c r="D33" s="275">
        <f t="shared" si="9"/>
        <v>5.0810000000000004</v>
      </c>
      <c r="E33" s="275">
        <f t="shared" si="9"/>
        <v>5.13</v>
      </c>
      <c r="F33" s="276">
        <f t="shared" si="9"/>
        <v>5.077</v>
      </c>
      <c r="G33" s="389">
        <f t="shared" si="9"/>
        <v>20.332999999999998</v>
      </c>
      <c r="H33" s="266">
        <f t="shared" si="9"/>
        <v>5.0449999999999999</v>
      </c>
      <c r="I33" s="275">
        <f t="shared" si="9"/>
        <v>5.0810000000000004</v>
      </c>
      <c r="J33" s="275">
        <f t="shared" si="9"/>
        <v>5.13</v>
      </c>
      <c r="K33" s="276">
        <f t="shared" si="9"/>
        <v>5.077</v>
      </c>
      <c r="L33" s="389">
        <f t="shared" si="9"/>
        <v>20.332999999999998</v>
      </c>
      <c r="M33" s="266">
        <f t="shared" si="9"/>
        <v>4.9950000000000001</v>
      </c>
      <c r="N33" s="275">
        <f t="shared" si="9"/>
        <v>5.0309999999999997</v>
      </c>
      <c r="O33" s="275">
        <f t="shared" si="9"/>
        <v>5.08</v>
      </c>
      <c r="P33" s="276">
        <f t="shared" si="9"/>
        <v>5.0270000000000001</v>
      </c>
      <c r="Q33" s="389">
        <f t="shared" si="9"/>
        <v>20.132999999999999</v>
      </c>
    </row>
    <row r="34" spans="1:20" s="15" customFormat="1" ht="15" customHeight="1" outlineLevel="2" x14ac:dyDescent="0.25">
      <c r="A34" s="252" t="s">
        <v>46</v>
      </c>
      <c r="B34" s="248" t="s">
        <v>102</v>
      </c>
      <c r="C34" s="268">
        <f>ROUND('1.Статистика'!N40,3)</f>
        <v>4.9710000000000001</v>
      </c>
      <c r="D34" s="277">
        <f>ROUND('1.Статистика'!O40,3)</f>
        <v>4.9770000000000003</v>
      </c>
      <c r="E34" s="277">
        <f>ROUND('1.Статистика'!P40,3)</f>
        <v>5.0259999999999998</v>
      </c>
      <c r="F34" s="278">
        <f>ROUND('1.Статистика'!Q40,3)</f>
        <v>4.976</v>
      </c>
      <c r="G34" s="270">
        <f>ROUND(SUM(C34:F34),3)</f>
        <v>19.95</v>
      </c>
      <c r="H34" s="268">
        <f>ROUND(C33,3)</f>
        <v>5.0449999999999999</v>
      </c>
      <c r="I34" s="268">
        <f>ROUND(D33,3)</f>
        <v>5.0810000000000004</v>
      </c>
      <c r="J34" s="268">
        <f>ROUND(E33,3)</f>
        <v>5.13</v>
      </c>
      <c r="K34" s="269">
        <f>ROUND(F33,3)</f>
        <v>5.077</v>
      </c>
      <c r="L34" s="270">
        <f>ROUND(SUM(H34:K34),3)</f>
        <v>20.332999999999998</v>
      </c>
      <c r="M34" s="268">
        <f>ROUND(H33,3)</f>
        <v>5.0449999999999999</v>
      </c>
      <c r="N34" s="268">
        <f>ROUND(I33,3)</f>
        <v>5.0810000000000004</v>
      </c>
      <c r="O34" s="268">
        <f>ROUND(J33,3)</f>
        <v>5.13</v>
      </c>
      <c r="P34" s="269">
        <f>ROUND(K33,3)</f>
        <v>5.077</v>
      </c>
      <c r="Q34" s="270">
        <f>ROUND(SUM(M34:P34),3)</f>
        <v>20.332999999999998</v>
      </c>
    </row>
    <row r="35" spans="1:20" s="15" customFormat="1" ht="15" customHeight="1" outlineLevel="2" x14ac:dyDescent="0.25">
      <c r="A35" s="252" t="s">
        <v>47</v>
      </c>
      <c r="B35" s="248" t="s">
        <v>102</v>
      </c>
      <c r="C35" s="273">
        <v>7.3999999999999996E-2</v>
      </c>
      <c r="D35" s="279">
        <v>0.104</v>
      </c>
      <c r="E35" s="279">
        <v>0.104</v>
      </c>
      <c r="F35" s="280">
        <v>0.10100000000000001</v>
      </c>
      <c r="G35" s="270">
        <f>ROUND(SUM(C35:F35),3)</f>
        <v>0.38300000000000001</v>
      </c>
      <c r="H35" s="273">
        <v>0</v>
      </c>
      <c r="I35" s="279">
        <v>0</v>
      </c>
      <c r="J35" s="279">
        <v>0</v>
      </c>
      <c r="K35" s="280">
        <v>0</v>
      </c>
      <c r="L35" s="270">
        <f>ROUND(SUM(H35:K35),3)</f>
        <v>0</v>
      </c>
      <c r="M35" s="273">
        <v>-0.05</v>
      </c>
      <c r="N35" s="279">
        <v>-0.05</v>
      </c>
      <c r="O35" s="279">
        <v>-0.05</v>
      </c>
      <c r="P35" s="280">
        <v>-0.05</v>
      </c>
      <c r="Q35" s="270">
        <f>ROUND(SUM(M35:P35),3)</f>
        <v>-0.2</v>
      </c>
    </row>
    <row r="36" spans="1:20" ht="15" customHeight="1" outlineLevel="1" x14ac:dyDescent="0.25">
      <c r="A36" s="249" t="s">
        <v>90</v>
      </c>
      <c r="B36" s="247" t="s">
        <v>102</v>
      </c>
      <c r="C36" s="266">
        <f t="shared" ref="C36:Q36" si="10">ROUND(C37+C38,3)</f>
        <v>0.5</v>
      </c>
      <c r="D36" s="275">
        <f t="shared" si="10"/>
        <v>0.45</v>
      </c>
      <c r="E36" s="275">
        <f t="shared" si="10"/>
        <v>0.5</v>
      </c>
      <c r="F36" s="276">
        <f t="shared" si="10"/>
        <v>0.6</v>
      </c>
      <c r="G36" s="389">
        <f t="shared" si="10"/>
        <v>2.0499999999999998</v>
      </c>
      <c r="H36" s="266">
        <f t="shared" si="10"/>
        <v>0.5</v>
      </c>
      <c r="I36" s="275">
        <f t="shared" si="10"/>
        <v>0.45</v>
      </c>
      <c r="J36" s="275">
        <f t="shared" si="10"/>
        <v>0.5</v>
      </c>
      <c r="K36" s="276">
        <f t="shared" si="10"/>
        <v>0.6</v>
      </c>
      <c r="L36" s="389">
        <f t="shared" si="10"/>
        <v>2.0499999999999998</v>
      </c>
      <c r="M36" s="266">
        <f t="shared" si="10"/>
        <v>0.2</v>
      </c>
      <c r="N36" s="275">
        <f t="shared" si="10"/>
        <v>0.25</v>
      </c>
      <c r="O36" s="275">
        <f t="shared" si="10"/>
        <v>0.2</v>
      </c>
      <c r="P36" s="276">
        <f t="shared" si="10"/>
        <v>0.35</v>
      </c>
      <c r="Q36" s="389">
        <f t="shared" si="10"/>
        <v>1</v>
      </c>
    </row>
    <row r="37" spans="1:20" s="15" customFormat="1" ht="15" customHeight="1" outlineLevel="2" x14ac:dyDescent="0.25">
      <c r="A37" s="252" t="s">
        <v>46</v>
      </c>
      <c r="B37" s="248" t="s">
        <v>102</v>
      </c>
      <c r="C37" s="268">
        <f>ROUND('1.Статистика'!N41,3)</f>
        <v>0.5</v>
      </c>
      <c r="D37" s="277">
        <f>ROUND('1.Статистика'!O41,3)</f>
        <v>0.45</v>
      </c>
      <c r="E37" s="277">
        <f>ROUND('1.Статистика'!P41,3)</f>
        <v>0.5</v>
      </c>
      <c r="F37" s="278">
        <f>ROUND('1.Статистика'!Q41,3)</f>
        <v>0.6</v>
      </c>
      <c r="G37" s="270">
        <f>ROUND(SUM(C37:F37),3)</f>
        <v>2.0499999999999998</v>
      </c>
      <c r="H37" s="268">
        <f>ROUND(C36,3)</f>
        <v>0.5</v>
      </c>
      <c r="I37" s="268">
        <f>ROUND(D36,3)</f>
        <v>0.45</v>
      </c>
      <c r="J37" s="268">
        <f>ROUND(E36,3)</f>
        <v>0.5</v>
      </c>
      <c r="K37" s="269">
        <f>ROUND(F36,3)</f>
        <v>0.6</v>
      </c>
      <c r="L37" s="270">
        <f>ROUND(SUM(H37:K37),3)</f>
        <v>2.0499999999999998</v>
      </c>
      <c r="M37" s="268">
        <f>ROUND(H36,3)</f>
        <v>0.5</v>
      </c>
      <c r="N37" s="268">
        <f>ROUND(I36,3)</f>
        <v>0.45</v>
      </c>
      <c r="O37" s="268">
        <f>ROUND(J36,3)</f>
        <v>0.5</v>
      </c>
      <c r="P37" s="269">
        <f>ROUND(K36,3)</f>
        <v>0.6</v>
      </c>
      <c r="Q37" s="270">
        <f>ROUND(SUM(M37:P37),3)</f>
        <v>2.0499999999999998</v>
      </c>
    </row>
    <row r="38" spans="1:20" s="15" customFormat="1" ht="15" customHeight="1" outlineLevel="2" x14ac:dyDescent="0.25">
      <c r="A38" s="252" t="s">
        <v>47</v>
      </c>
      <c r="B38" s="248" t="s">
        <v>102</v>
      </c>
      <c r="C38" s="273">
        <v>0</v>
      </c>
      <c r="D38" s="279">
        <v>0</v>
      </c>
      <c r="E38" s="279">
        <v>0</v>
      </c>
      <c r="F38" s="280">
        <v>0</v>
      </c>
      <c r="G38" s="270">
        <f>ROUND(SUM(C38:F38),3)</f>
        <v>0</v>
      </c>
      <c r="H38" s="273">
        <v>0</v>
      </c>
      <c r="I38" s="279">
        <v>0</v>
      </c>
      <c r="J38" s="279">
        <v>0</v>
      </c>
      <c r="K38" s="280">
        <v>0</v>
      </c>
      <c r="L38" s="270">
        <f>ROUND(SUM(H38:K38),3)</f>
        <v>0</v>
      </c>
      <c r="M38" s="273">
        <v>-0.3</v>
      </c>
      <c r="N38" s="279">
        <v>-0.2</v>
      </c>
      <c r="O38" s="279">
        <v>-0.3</v>
      </c>
      <c r="P38" s="280">
        <v>-0.25</v>
      </c>
      <c r="Q38" s="270">
        <f>ROUND(SUM(M38:P38),3)</f>
        <v>-1.05</v>
      </c>
    </row>
    <row r="39" spans="1:20" ht="15" customHeight="1" x14ac:dyDescent="0.25">
      <c r="A39" s="399" t="s">
        <v>43</v>
      </c>
      <c r="B39" s="400" t="s">
        <v>102</v>
      </c>
      <c r="C39" s="386">
        <f t="shared" ref="C39:Q39" si="11">ROUND(SUM(C40:C42),3)</f>
        <v>36.271000000000001</v>
      </c>
      <c r="D39" s="386">
        <f t="shared" si="11"/>
        <v>36.082000000000001</v>
      </c>
      <c r="E39" s="386">
        <f t="shared" si="11"/>
        <v>35.988</v>
      </c>
      <c r="F39" s="387">
        <f t="shared" si="11"/>
        <v>35.994</v>
      </c>
      <c r="G39" s="281">
        <f t="shared" si="11"/>
        <v>130.608</v>
      </c>
      <c r="H39" s="386">
        <f t="shared" si="11"/>
        <v>36.206000000000003</v>
      </c>
      <c r="I39" s="386">
        <f t="shared" si="11"/>
        <v>36.023000000000003</v>
      </c>
      <c r="J39" s="386">
        <f t="shared" si="11"/>
        <v>35.936</v>
      </c>
      <c r="K39" s="387">
        <f t="shared" si="11"/>
        <v>35.948</v>
      </c>
      <c r="L39" s="281">
        <f t="shared" si="11"/>
        <v>130.54300000000001</v>
      </c>
      <c r="M39" s="386">
        <f t="shared" si="11"/>
        <v>36.165999999999997</v>
      </c>
      <c r="N39" s="386">
        <f t="shared" si="11"/>
        <v>35.99</v>
      </c>
      <c r="O39" s="386">
        <f t="shared" si="11"/>
        <v>35.909999999999997</v>
      </c>
      <c r="P39" s="387">
        <f t="shared" si="11"/>
        <v>35.929000000000002</v>
      </c>
      <c r="Q39" s="281">
        <f t="shared" si="11"/>
        <v>130.50299999999999</v>
      </c>
      <c r="S39" s="10"/>
      <c r="T39" s="10"/>
    </row>
    <row r="40" spans="1:20" s="14" customFormat="1" ht="15" customHeight="1" outlineLevel="1" x14ac:dyDescent="0.25">
      <c r="A40" s="255" t="s">
        <v>114</v>
      </c>
      <c r="B40" s="246" t="s">
        <v>102</v>
      </c>
      <c r="C40" s="262">
        <f t="shared" ref="C40:Q40" si="12">ROUND(C10+C14+C30,3)</f>
        <v>29.779</v>
      </c>
      <c r="D40" s="262">
        <f t="shared" si="12"/>
        <v>29.672999999999998</v>
      </c>
      <c r="E40" s="262">
        <f t="shared" si="12"/>
        <v>29.611999999999998</v>
      </c>
      <c r="F40" s="282">
        <f t="shared" si="12"/>
        <v>29.565000000000001</v>
      </c>
      <c r="G40" s="388">
        <f t="shared" si="12"/>
        <v>106.864</v>
      </c>
      <c r="H40" s="262">
        <f t="shared" si="12"/>
        <v>29.779</v>
      </c>
      <c r="I40" s="262">
        <f t="shared" si="12"/>
        <v>29.677</v>
      </c>
      <c r="J40" s="262">
        <f t="shared" si="12"/>
        <v>29.620999999999999</v>
      </c>
      <c r="K40" s="282">
        <f t="shared" si="12"/>
        <v>29.577999999999999</v>
      </c>
      <c r="L40" s="388">
        <f t="shared" si="12"/>
        <v>106.864</v>
      </c>
      <c r="M40" s="262">
        <f t="shared" si="12"/>
        <v>29.795999999999999</v>
      </c>
      <c r="N40" s="262">
        <f t="shared" si="12"/>
        <v>29.699000000000002</v>
      </c>
      <c r="O40" s="262">
        <f t="shared" si="12"/>
        <v>29.646999999999998</v>
      </c>
      <c r="P40" s="282">
        <f t="shared" si="12"/>
        <v>29.609000000000002</v>
      </c>
      <c r="Q40" s="388">
        <f t="shared" si="12"/>
        <v>106.881</v>
      </c>
    </row>
    <row r="41" spans="1:20" s="14" customFormat="1" ht="15" customHeight="1" outlineLevel="1" x14ac:dyDescent="0.25">
      <c r="A41" s="255" t="s">
        <v>89</v>
      </c>
      <c r="B41" s="246" t="s">
        <v>102</v>
      </c>
      <c r="C41" s="262">
        <f t="shared" ref="C41:Q41" si="13">ROUND(C11+C19+C33,3)</f>
        <v>5.6310000000000002</v>
      </c>
      <c r="D41" s="262">
        <f t="shared" si="13"/>
        <v>5.601</v>
      </c>
      <c r="E41" s="262">
        <f t="shared" si="13"/>
        <v>5.6550000000000002</v>
      </c>
      <c r="F41" s="282">
        <f t="shared" si="13"/>
        <v>5.6109999999999998</v>
      </c>
      <c r="G41" s="388">
        <f t="shared" si="13"/>
        <v>21.161999999999999</v>
      </c>
      <c r="H41" s="262">
        <f t="shared" si="13"/>
        <v>5.6120000000000001</v>
      </c>
      <c r="I41" s="262">
        <f t="shared" si="13"/>
        <v>5.5839999999999996</v>
      </c>
      <c r="J41" s="262">
        <f t="shared" si="13"/>
        <v>5.64</v>
      </c>
      <c r="K41" s="282">
        <f t="shared" si="13"/>
        <v>5.5979999999999999</v>
      </c>
      <c r="L41" s="388">
        <f t="shared" si="13"/>
        <v>21.143000000000001</v>
      </c>
      <c r="M41" s="262">
        <f t="shared" si="13"/>
        <v>5.601</v>
      </c>
      <c r="N41" s="262">
        <f t="shared" si="13"/>
        <v>5.5750000000000002</v>
      </c>
      <c r="O41" s="262">
        <f t="shared" si="13"/>
        <v>5.633</v>
      </c>
      <c r="P41" s="282">
        <f t="shared" si="13"/>
        <v>5.593</v>
      </c>
      <c r="Q41" s="388">
        <f t="shared" si="13"/>
        <v>21.132000000000001</v>
      </c>
    </row>
    <row r="42" spans="1:20" s="14" customFormat="1" ht="15" customHeight="1" outlineLevel="1" x14ac:dyDescent="0.25">
      <c r="A42" s="255" t="s">
        <v>90</v>
      </c>
      <c r="B42" s="246" t="s">
        <v>102</v>
      </c>
      <c r="C42" s="262">
        <f t="shared" ref="C42:Q42" si="14">ROUND(C12+C24+C36,3)</f>
        <v>0.86099999999999999</v>
      </c>
      <c r="D42" s="262">
        <f t="shared" si="14"/>
        <v>0.80800000000000005</v>
      </c>
      <c r="E42" s="262">
        <f t="shared" si="14"/>
        <v>0.72099999999999997</v>
      </c>
      <c r="F42" s="282">
        <f t="shared" si="14"/>
        <v>0.81799999999999995</v>
      </c>
      <c r="G42" s="388">
        <f t="shared" si="14"/>
        <v>2.5819999999999999</v>
      </c>
      <c r="H42" s="262">
        <f t="shared" si="14"/>
        <v>0.81499999999999995</v>
      </c>
      <c r="I42" s="262">
        <f t="shared" si="14"/>
        <v>0.76200000000000001</v>
      </c>
      <c r="J42" s="262">
        <f t="shared" si="14"/>
        <v>0.67500000000000004</v>
      </c>
      <c r="K42" s="282">
        <f t="shared" si="14"/>
        <v>0.77200000000000002</v>
      </c>
      <c r="L42" s="388">
        <f t="shared" si="14"/>
        <v>2.536</v>
      </c>
      <c r="M42" s="262">
        <f t="shared" si="14"/>
        <v>0.76900000000000002</v>
      </c>
      <c r="N42" s="262">
        <f t="shared" si="14"/>
        <v>0.71599999999999997</v>
      </c>
      <c r="O42" s="262">
        <f t="shared" si="14"/>
        <v>0.63</v>
      </c>
      <c r="P42" s="282">
        <f t="shared" si="14"/>
        <v>0.72699999999999998</v>
      </c>
      <c r="Q42" s="388">
        <f t="shared" si="14"/>
        <v>2.4900000000000002</v>
      </c>
    </row>
    <row r="43" spans="1:20" s="16" customFormat="1" x14ac:dyDescent="0.25">
      <c r="A43" s="397" t="s">
        <v>138</v>
      </c>
      <c r="B43" s="401" t="s">
        <v>102</v>
      </c>
      <c r="C43" s="384">
        <f t="shared" ref="C43:Q43" si="15">ROUND(SUM(C44:C46),3)</f>
        <v>25.081</v>
      </c>
      <c r="D43" s="384">
        <f t="shared" si="15"/>
        <v>25.050999999999998</v>
      </c>
      <c r="E43" s="384">
        <f t="shared" si="15"/>
        <v>25.09</v>
      </c>
      <c r="F43" s="384">
        <f t="shared" si="15"/>
        <v>25.024999999999999</v>
      </c>
      <c r="G43" s="265">
        <f t="shared" si="15"/>
        <v>100.247</v>
      </c>
      <c r="H43" s="384">
        <f t="shared" si="15"/>
        <v>25.081</v>
      </c>
      <c r="I43" s="384">
        <f t="shared" si="15"/>
        <v>25.050999999999998</v>
      </c>
      <c r="J43" s="384">
        <f t="shared" si="15"/>
        <v>25.09</v>
      </c>
      <c r="K43" s="384">
        <f t="shared" si="15"/>
        <v>25.024999999999999</v>
      </c>
      <c r="L43" s="265">
        <f t="shared" si="15"/>
        <v>100.247</v>
      </c>
      <c r="M43" s="384">
        <f t="shared" si="15"/>
        <v>25.081</v>
      </c>
      <c r="N43" s="384">
        <f t="shared" si="15"/>
        <v>25.050999999999998</v>
      </c>
      <c r="O43" s="384">
        <f t="shared" si="15"/>
        <v>25.09</v>
      </c>
      <c r="P43" s="384">
        <f t="shared" si="15"/>
        <v>25.024999999999999</v>
      </c>
      <c r="Q43" s="265">
        <f t="shared" si="15"/>
        <v>100.247</v>
      </c>
    </row>
    <row r="44" spans="1:20" s="14" customFormat="1" ht="15" customHeight="1" outlineLevel="1" x14ac:dyDescent="0.25">
      <c r="A44" s="255" t="s">
        <v>114</v>
      </c>
      <c r="B44" s="246" t="s">
        <v>102</v>
      </c>
      <c r="C44" s="262">
        <f t="shared" ref="C44:Q44" si="16">ROUND(C48+C64,3)</f>
        <v>19.899999999999999</v>
      </c>
      <c r="D44" s="262">
        <f t="shared" si="16"/>
        <v>19.899999999999999</v>
      </c>
      <c r="E44" s="262">
        <f t="shared" si="16"/>
        <v>19.899999999999999</v>
      </c>
      <c r="F44" s="262">
        <f t="shared" si="16"/>
        <v>19.88</v>
      </c>
      <c r="G44" s="388">
        <f t="shared" si="16"/>
        <v>79.58</v>
      </c>
      <c r="H44" s="262">
        <f t="shared" si="16"/>
        <v>19.899999999999999</v>
      </c>
      <c r="I44" s="262">
        <f t="shared" si="16"/>
        <v>19.899999999999999</v>
      </c>
      <c r="J44" s="262">
        <f t="shared" si="16"/>
        <v>19.899999999999999</v>
      </c>
      <c r="K44" s="262">
        <f t="shared" si="16"/>
        <v>19.88</v>
      </c>
      <c r="L44" s="388">
        <f t="shared" si="16"/>
        <v>79.58</v>
      </c>
      <c r="M44" s="262">
        <f t="shared" si="16"/>
        <v>19.899999999999999</v>
      </c>
      <c r="N44" s="262">
        <f t="shared" si="16"/>
        <v>19.899999999999999</v>
      </c>
      <c r="O44" s="262">
        <f t="shared" si="16"/>
        <v>19.899999999999999</v>
      </c>
      <c r="P44" s="262">
        <f t="shared" si="16"/>
        <v>19.88</v>
      </c>
      <c r="Q44" s="389">
        <f t="shared" si="16"/>
        <v>79.58</v>
      </c>
    </row>
    <row r="45" spans="1:20" s="14" customFormat="1" ht="15" customHeight="1" outlineLevel="1" x14ac:dyDescent="0.25">
      <c r="A45" s="255" t="s">
        <v>89</v>
      </c>
      <c r="B45" s="246" t="s">
        <v>102</v>
      </c>
      <c r="C45" s="262">
        <f t="shared" ref="C45:Q45" si="17">ROUND(C53+C69,3)</f>
        <v>4.6310000000000002</v>
      </c>
      <c r="D45" s="262">
        <f t="shared" si="17"/>
        <v>4.601</v>
      </c>
      <c r="E45" s="262">
        <f t="shared" si="17"/>
        <v>4.6399999999999997</v>
      </c>
      <c r="F45" s="262">
        <f t="shared" si="17"/>
        <v>4.5949999999999998</v>
      </c>
      <c r="G45" s="388">
        <f t="shared" si="17"/>
        <v>18.466999999999999</v>
      </c>
      <c r="H45" s="262">
        <f t="shared" si="17"/>
        <v>4.6310000000000002</v>
      </c>
      <c r="I45" s="262">
        <f t="shared" si="17"/>
        <v>4.601</v>
      </c>
      <c r="J45" s="262">
        <f t="shared" si="17"/>
        <v>4.6399999999999997</v>
      </c>
      <c r="K45" s="262">
        <f t="shared" si="17"/>
        <v>4.5949999999999998</v>
      </c>
      <c r="L45" s="388">
        <f t="shared" si="17"/>
        <v>18.466999999999999</v>
      </c>
      <c r="M45" s="262">
        <f t="shared" si="17"/>
        <v>4.6310000000000002</v>
      </c>
      <c r="N45" s="262">
        <f t="shared" si="17"/>
        <v>4.601</v>
      </c>
      <c r="O45" s="262">
        <f t="shared" si="17"/>
        <v>4.6399999999999997</v>
      </c>
      <c r="P45" s="262">
        <f t="shared" si="17"/>
        <v>4.5949999999999998</v>
      </c>
      <c r="Q45" s="389">
        <f t="shared" si="17"/>
        <v>18.466999999999999</v>
      </c>
    </row>
    <row r="46" spans="1:20" s="14" customFormat="1" ht="15" customHeight="1" outlineLevel="1" x14ac:dyDescent="0.25">
      <c r="A46" s="255" t="s">
        <v>90</v>
      </c>
      <c r="B46" s="246" t="s">
        <v>102</v>
      </c>
      <c r="C46" s="262">
        <f t="shared" ref="C46:Q46" si="18">ROUND(C58+C74,3)</f>
        <v>0.55000000000000004</v>
      </c>
      <c r="D46" s="262">
        <f t="shared" si="18"/>
        <v>0.55000000000000004</v>
      </c>
      <c r="E46" s="262">
        <f t="shared" si="18"/>
        <v>0.55000000000000004</v>
      </c>
      <c r="F46" s="262">
        <f t="shared" si="18"/>
        <v>0.55000000000000004</v>
      </c>
      <c r="G46" s="388">
        <f t="shared" si="18"/>
        <v>2.2000000000000002</v>
      </c>
      <c r="H46" s="262">
        <f t="shared" si="18"/>
        <v>0.55000000000000004</v>
      </c>
      <c r="I46" s="262">
        <f t="shared" si="18"/>
        <v>0.55000000000000004</v>
      </c>
      <c r="J46" s="262">
        <f t="shared" si="18"/>
        <v>0.55000000000000004</v>
      </c>
      <c r="K46" s="262">
        <f t="shared" si="18"/>
        <v>0.55000000000000004</v>
      </c>
      <c r="L46" s="388">
        <f t="shared" si="18"/>
        <v>2.2000000000000002</v>
      </c>
      <c r="M46" s="262">
        <f t="shared" si="18"/>
        <v>0.55000000000000004</v>
      </c>
      <c r="N46" s="262">
        <f t="shared" si="18"/>
        <v>0.55000000000000004</v>
      </c>
      <c r="O46" s="262">
        <f t="shared" si="18"/>
        <v>0.55000000000000004</v>
      </c>
      <c r="P46" s="262">
        <f t="shared" si="18"/>
        <v>0.55000000000000004</v>
      </c>
      <c r="Q46" s="389">
        <f t="shared" si="18"/>
        <v>2.2000000000000002</v>
      </c>
    </row>
    <row r="47" spans="1:20" s="16" customFormat="1" x14ac:dyDescent="0.25">
      <c r="A47" s="397" t="s">
        <v>139</v>
      </c>
      <c r="B47" s="401" t="s">
        <v>102</v>
      </c>
      <c r="C47" s="384">
        <f t="shared" ref="C47:Q47" si="19">ROUND(C48+C53+C58,3)</f>
        <v>25.081</v>
      </c>
      <c r="D47" s="384">
        <f t="shared" si="19"/>
        <v>25.050999999999998</v>
      </c>
      <c r="E47" s="384">
        <f t="shared" si="19"/>
        <v>25.09</v>
      </c>
      <c r="F47" s="385">
        <f t="shared" si="19"/>
        <v>25.024999999999999</v>
      </c>
      <c r="G47" s="265">
        <f t="shared" si="19"/>
        <v>100.247</v>
      </c>
      <c r="H47" s="384">
        <f t="shared" si="19"/>
        <v>25.081</v>
      </c>
      <c r="I47" s="384">
        <f t="shared" si="19"/>
        <v>25.050999999999998</v>
      </c>
      <c r="J47" s="384">
        <f t="shared" si="19"/>
        <v>25.09</v>
      </c>
      <c r="K47" s="385">
        <f t="shared" si="19"/>
        <v>25.024999999999999</v>
      </c>
      <c r="L47" s="265">
        <f t="shared" si="19"/>
        <v>100.247</v>
      </c>
      <c r="M47" s="384">
        <f t="shared" si="19"/>
        <v>25.081</v>
      </c>
      <c r="N47" s="384">
        <f t="shared" si="19"/>
        <v>25.050999999999998</v>
      </c>
      <c r="O47" s="384">
        <f t="shared" si="19"/>
        <v>25.09</v>
      </c>
      <c r="P47" s="385">
        <f t="shared" si="19"/>
        <v>25.024999999999999</v>
      </c>
      <c r="Q47" s="265">
        <f t="shared" si="19"/>
        <v>100.247</v>
      </c>
    </row>
    <row r="48" spans="1:20" outlineLevel="1" x14ac:dyDescent="0.25">
      <c r="A48" s="253" t="s">
        <v>94</v>
      </c>
      <c r="B48" s="247" t="s">
        <v>102</v>
      </c>
      <c r="C48" s="266">
        <f t="shared" ref="C48:Q48" si="20">ROUND(C49+C50-C51+C52,3)</f>
        <v>19.899999999999999</v>
      </c>
      <c r="D48" s="275">
        <f t="shared" si="20"/>
        <v>19.899999999999999</v>
      </c>
      <c r="E48" s="275">
        <f t="shared" si="20"/>
        <v>19.899999999999999</v>
      </c>
      <c r="F48" s="276">
        <f t="shared" si="20"/>
        <v>19.88</v>
      </c>
      <c r="G48" s="389">
        <f t="shared" si="20"/>
        <v>79.58</v>
      </c>
      <c r="H48" s="266">
        <f t="shared" si="20"/>
        <v>19.899999999999999</v>
      </c>
      <c r="I48" s="275">
        <f t="shared" si="20"/>
        <v>19.899999999999999</v>
      </c>
      <c r="J48" s="275">
        <f t="shared" si="20"/>
        <v>19.899999999999999</v>
      </c>
      <c r="K48" s="276">
        <f t="shared" si="20"/>
        <v>19.88</v>
      </c>
      <c r="L48" s="389">
        <f t="shared" si="20"/>
        <v>79.58</v>
      </c>
      <c r="M48" s="266">
        <f t="shared" si="20"/>
        <v>19.899999999999999</v>
      </c>
      <c r="N48" s="275">
        <f t="shared" si="20"/>
        <v>19.899999999999999</v>
      </c>
      <c r="O48" s="275">
        <f t="shared" si="20"/>
        <v>19.899999999999999</v>
      </c>
      <c r="P48" s="276">
        <f t="shared" si="20"/>
        <v>19.88</v>
      </c>
      <c r="Q48" s="389">
        <f t="shared" si="20"/>
        <v>79.58</v>
      </c>
    </row>
    <row r="49" spans="1:17" s="15" customFormat="1" ht="30" outlineLevel="3" x14ac:dyDescent="0.25">
      <c r="A49" s="254" t="s">
        <v>49</v>
      </c>
      <c r="B49" s="248" t="s">
        <v>102</v>
      </c>
      <c r="C49" s="268">
        <f>ROUND('1.Статистика'!N51,3)</f>
        <v>19.55</v>
      </c>
      <c r="D49" s="268">
        <f>ROUND('1.Статистика'!O51,3)</f>
        <v>19.600000000000001</v>
      </c>
      <c r="E49" s="268">
        <f>ROUND('1.Статистика'!P51,3)</f>
        <v>19.55</v>
      </c>
      <c r="F49" s="269">
        <f>ROUND('1.Статистика'!Q51,3)</f>
        <v>19.55</v>
      </c>
      <c r="G49" s="270">
        <f>ROUND(SUM(C49:F49),3)</f>
        <v>78.25</v>
      </c>
      <c r="H49" s="268">
        <f>ROUND(C48,3)</f>
        <v>19.899999999999999</v>
      </c>
      <c r="I49" s="277">
        <f>ROUND(D48,3)</f>
        <v>19.899999999999999</v>
      </c>
      <c r="J49" s="277">
        <f>ROUND(E48,3)</f>
        <v>19.899999999999999</v>
      </c>
      <c r="K49" s="278">
        <f>ROUND(F48,3)</f>
        <v>19.88</v>
      </c>
      <c r="L49" s="270">
        <f>ROUND(SUM(H49:K49),3)</f>
        <v>79.58</v>
      </c>
      <c r="M49" s="268">
        <f>ROUND(H48,3)</f>
        <v>19.899999999999999</v>
      </c>
      <c r="N49" s="277">
        <f>ROUND(I48,3)</f>
        <v>19.899999999999999</v>
      </c>
      <c r="O49" s="277">
        <f>ROUND(J48,3)</f>
        <v>19.899999999999999</v>
      </c>
      <c r="P49" s="278">
        <f>ROUND(K48,3)</f>
        <v>19.88</v>
      </c>
      <c r="Q49" s="270">
        <f>ROUND(SUM(M49:P49),3)</f>
        <v>79.58</v>
      </c>
    </row>
    <row r="50" spans="1:17" s="15" customFormat="1" ht="30" outlineLevel="3" x14ac:dyDescent="0.25">
      <c r="A50" s="254" t="s">
        <v>50</v>
      </c>
      <c r="B50" s="248" t="s">
        <v>102</v>
      </c>
      <c r="C50" s="268">
        <f>ROUND('1.Статистика'!D17,3)</f>
        <v>0</v>
      </c>
      <c r="D50" s="277">
        <f>ROUND('1.Статистика'!E17,3)</f>
        <v>0</v>
      </c>
      <c r="E50" s="277">
        <f>ROUND('1.Статистика'!F17,3)</f>
        <v>0</v>
      </c>
      <c r="F50" s="278">
        <f>ROUND('1.Статистика'!G17,3)</f>
        <v>0</v>
      </c>
      <c r="G50" s="270">
        <f>ROUND(SUM(C50:F50),3)</f>
        <v>0</v>
      </c>
      <c r="H50" s="268">
        <f>ROUND('1.Статистика'!I17,3)</f>
        <v>0</v>
      </c>
      <c r="I50" s="277">
        <f>ROUND('1.Статистика'!J17,3)</f>
        <v>0</v>
      </c>
      <c r="J50" s="277">
        <f>ROUND('1.Статистика'!K17,3)</f>
        <v>0</v>
      </c>
      <c r="K50" s="278">
        <f>ROUND('1.Статистика'!L17,3)</f>
        <v>0</v>
      </c>
      <c r="L50" s="270">
        <f>ROUND(SUM(H50:K50),3)</f>
        <v>0</v>
      </c>
      <c r="M50" s="268">
        <f>ROUND('1.Статистика'!N17,3)</f>
        <v>0</v>
      </c>
      <c r="N50" s="277">
        <f>ROUND('1.Статистика'!O17,3)</f>
        <v>0</v>
      </c>
      <c r="O50" s="277">
        <f>ROUND('1.Статистика'!P17,3)</f>
        <v>0</v>
      </c>
      <c r="P50" s="278">
        <f>ROUND('1.Статистика'!Q17,3)</f>
        <v>0</v>
      </c>
      <c r="Q50" s="270">
        <f>ROUND(SUM(M50:P50),3)</f>
        <v>0</v>
      </c>
    </row>
    <row r="51" spans="1:17" s="15" customFormat="1" ht="30" outlineLevel="3" x14ac:dyDescent="0.25">
      <c r="A51" s="254" t="s">
        <v>51</v>
      </c>
      <c r="B51" s="248" t="s">
        <v>102</v>
      </c>
      <c r="C51" s="446"/>
      <c r="D51" s="447"/>
      <c r="E51" s="447"/>
      <c r="F51" s="448"/>
      <c r="G51" s="270">
        <f>ROUND(SUM(C51:F51),3)</f>
        <v>0</v>
      </c>
      <c r="H51" s="446"/>
      <c r="I51" s="447"/>
      <c r="J51" s="447"/>
      <c r="K51" s="448"/>
      <c r="L51" s="270">
        <f>ROUND(SUM(H51:K51),3)</f>
        <v>0</v>
      </c>
      <c r="M51" s="446"/>
      <c r="N51" s="447"/>
      <c r="O51" s="447"/>
      <c r="P51" s="448"/>
      <c r="Q51" s="270">
        <f>ROUND(SUM(M51:P51),3)</f>
        <v>0</v>
      </c>
    </row>
    <row r="52" spans="1:17" s="15" customFormat="1" ht="30" outlineLevel="3" x14ac:dyDescent="0.25">
      <c r="A52" s="254" t="s">
        <v>52</v>
      </c>
      <c r="B52" s="248" t="s">
        <v>102</v>
      </c>
      <c r="C52" s="273">
        <v>0.35</v>
      </c>
      <c r="D52" s="273">
        <v>0.3</v>
      </c>
      <c r="E52" s="273">
        <v>0.35</v>
      </c>
      <c r="F52" s="274">
        <v>0.33</v>
      </c>
      <c r="G52" s="270">
        <f>ROUND(SUM(C52:F52),3)</f>
        <v>1.33</v>
      </c>
      <c r="H52" s="273">
        <v>0</v>
      </c>
      <c r="I52" s="273">
        <v>0</v>
      </c>
      <c r="J52" s="273">
        <v>0</v>
      </c>
      <c r="K52" s="274">
        <v>0</v>
      </c>
      <c r="L52" s="270">
        <f>ROUND(SUM(H52:K52),3)</f>
        <v>0</v>
      </c>
      <c r="M52" s="273">
        <v>0</v>
      </c>
      <c r="N52" s="273">
        <v>0</v>
      </c>
      <c r="O52" s="273">
        <v>0</v>
      </c>
      <c r="P52" s="274">
        <v>0</v>
      </c>
      <c r="Q52" s="270">
        <f>ROUND(SUM(M52:P52),3)</f>
        <v>0</v>
      </c>
    </row>
    <row r="53" spans="1:17" outlineLevel="1" x14ac:dyDescent="0.25">
      <c r="A53" s="253" t="s">
        <v>89</v>
      </c>
      <c r="B53" s="247" t="s">
        <v>102</v>
      </c>
      <c r="C53" s="266">
        <f t="shared" ref="C53:Q53" si="21">ROUND(C54+C55-C56+C57,3)</f>
        <v>4.6310000000000002</v>
      </c>
      <c r="D53" s="275">
        <f t="shared" si="21"/>
        <v>4.601</v>
      </c>
      <c r="E53" s="275">
        <f t="shared" si="21"/>
        <v>4.6399999999999997</v>
      </c>
      <c r="F53" s="276">
        <f t="shared" si="21"/>
        <v>4.5949999999999998</v>
      </c>
      <c r="G53" s="389">
        <f t="shared" si="21"/>
        <v>18.466999999999999</v>
      </c>
      <c r="H53" s="266">
        <f t="shared" si="21"/>
        <v>4.6310000000000002</v>
      </c>
      <c r="I53" s="275">
        <f t="shared" si="21"/>
        <v>4.601</v>
      </c>
      <c r="J53" s="275">
        <f t="shared" si="21"/>
        <v>4.6399999999999997</v>
      </c>
      <c r="K53" s="276">
        <f t="shared" si="21"/>
        <v>4.5949999999999998</v>
      </c>
      <c r="L53" s="389">
        <f t="shared" si="21"/>
        <v>18.466999999999999</v>
      </c>
      <c r="M53" s="266">
        <f t="shared" si="21"/>
        <v>4.6310000000000002</v>
      </c>
      <c r="N53" s="275">
        <f t="shared" si="21"/>
        <v>4.601</v>
      </c>
      <c r="O53" s="275">
        <f t="shared" si="21"/>
        <v>4.6399999999999997</v>
      </c>
      <c r="P53" s="276">
        <f t="shared" si="21"/>
        <v>4.5949999999999998</v>
      </c>
      <c r="Q53" s="389">
        <f t="shared" si="21"/>
        <v>18.466999999999999</v>
      </c>
    </row>
    <row r="54" spans="1:17" s="15" customFormat="1" ht="30" outlineLevel="3" x14ac:dyDescent="0.25">
      <c r="A54" s="254" t="s">
        <v>49</v>
      </c>
      <c r="B54" s="248" t="s">
        <v>102</v>
      </c>
      <c r="C54" s="268">
        <f>ROUND('1.Статистика'!N52,3)</f>
        <v>4.6310000000000002</v>
      </c>
      <c r="D54" s="268">
        <f>ROUND('1.Статистика'!O52,3)</f>
        <v>4.601</v>
      </c>
      <c r="E54" s="268">
        <f>ROUND('1.Статистика'!P52,3)</f>
        <v>4.6399999999999997</v>
      </c>
      <c r="F54" s="269">
        <f>ROUND('1.Статистика'!Q52,3)</f>
        <v>4.5949999999999998</v>
      </c>
      <c r="G54" s="270">
        <f>ROUND(SUM(C54:F54),3)</f>
        <v>18.466999999999999</v>
      </c>
      <c r="H54" s="268">
        <f>ROUND(C53,3)</f>
        <v>4.6310000000000002</v>
      </c>
      <c r="I54" s="277">
        <f>ROUND(D53,3)</f>
        <v>4.601</v>
      </c>
      <c r="J54" s="277">
        <f>ROUND(E53,3)</f>
        <v>4.6399999999999997</v>
      </c>
      <c r="K54" s="278">
        <f>ROUND(F53,3)</f>
        <v>4.5949999999999998</v>
      </c>
      <c r="L54" s="270">
        <f>ROUND(SUM(H54:K54),3)</f>
        <v>18.466999999999999</v>
      </c>
      <c r="M54" s="268">
        <f>ROUND(H53,3)</f>
        <v>4.6310000000000002</v>
      </c>
      <c r="N54" s="277">
        <f>ROUND(I53,3)</f>
        <v>4.601</v>
      </c>
      <c r="O54" s="277">
        <f>ROUND(J53,3)</f>
        <v>4.6399999999999997</v>
      </c>
      <c r="P54" s="278">
        <f>ROUND(K53,3)</f>
        <v>4.5949999999999998</v>
      </c>
      <c r="Q54" s="270">
        <f>ROUND(SUM(M54:P54),3)</f>
        <v>18.466999999999999</v>
      </c>
    </row>
    <row r="55" spans="1:17" s="15" customFormat="1" ht="30" outlineLevel="3" x14ac:dyDescent="0.25">
      <c r="A55" s="254" t="s">
        <v>50</v>
      </c>
      <c r="B55" s="248" t="s">
        <v>102</v>
      </c>
      <c r="C55" s="268">
        <f>ROUND('1.Статистика'!D18,3)</f>
        <v>0</v>
      </c>
      <c r="D55" s="277">
        <f>ROUND('1.Статистика'!E18,3)</f>
        <v>0</v>
      </c>
      <c r="E55" s="277">
        <f>ROUND('1.Статистика'!F18,3)</f>
        <v>0</v>
      </c>
      <c r="F55" s="278">
        <f>ROUND('1.Статистика'!G18,3)</f>
        <v>0</v>
      </c>
      <c r="G55" s="270">
        <f>ROUND(SUM(C55:F55),3)</f>
        <v>0</v>
      </c>
      <c r="H55" s="268">
        <f>ROUND('1.Статистика'!I18,3)</f>
        <v>0</v>
      </c>
      <c r="I55" s="277">
        <f>ROUND('1.Статистика'!J18,3)</f>
        <v>0</v>
      </c>
      <c r="J55" s="277">
        <f>ROUND('1.Статистика'!K18,3)</f>
        <v>0</v>
      </c>
      <c r="K55" s="278">
        <f>ROUND('1.Статистика'!L18,3)</f>
        <v>0</v>
      </c>
      <c r="L55" s="270">
        <f>ROUND(SUM(H55:K55),3)</f>
        <v>0</v>
      </c>
      <c r="M55" s="268">
        <f>ROUND('1.Статистика'!N18,3)</f>
        <v>0</v>
      </c>
      <c r="N55" s="277">
        <f>ROUND('1.Статистика'!O18,3)</f>
        <v>0</v>
      </c>
      <c r="O55" s="277">
        <f>ROUND('1.Статистика'!P18,3)</f>
        <v>0</v>
      </c>
      <c r="P55" s="278">
        <f>ROUND('1.Статистика'!Q18,3)</f>
        <v>0</v>
      </c>
      <c r="Q55" s="270">
        <f>ROUND(SUM(M55:P55),3)</f>
        <v>0</v>
      </c>
    </row>
    <row r="56" spans="1:17" s="15" customFormat="1" ht="30" outlineLevel="3" x14ac:dyDescent="0.25">
      <c r="A56" s="254" t="s">
        <v>51</v>
      </c>
      <c r="B56" s="248" t="s">
        <v>102</v>
      </c>
      <c r="C56" s="446"/>
      <c r="D56" s="447"/>
      <c r="E56" s="447"/>
      <c r="F56" s="448"/>
      <c r="G56" s="270">
        <f>ROUND(SUM(C56:F56),3)</f>
        <v>0</v>
      </c>
      <c r="H56" s="446"/>
      <c r="I56" s="447"/>
      <c r="J56" s="447"/>
      <c r="K56" s="448"/>
      <c r="L56" s="270">
        <f>ROUND(SUM(H56:K56),3)</f>
        <v>0</v>
      </c>
      <c r="M56" s="446"/>
      <c r="N56" s="447"/>
      <c r="O56" s="447"/>
      <c r="P56" s="448"/>
      <c r="Q56" s="270">
        <f>ROUND(SUM(M56:P56),3)</f>
        <v>0</v>
      </c>
    </row>
    <row r="57" spans="1:17" s="15" customFormat="1" ht="30" outlineLevel="3" x14ac:dyDescent="0.25">
      <c r="A57" s="254" t="s">
        <v>52</v>
      </c>
      <c r="B57" s="248" t="s">
        <v>102</v>
      </c>
      <c r="C57" s="273">
        <v>0</v>
      </c>
      <c r="D57" s="273">
        <v>0</v>
      </c>
      <c r="E57" s="273">
        <v>0</v>
      </c>
      <c r="F57" s="274">
        <v>0</v>
      </c>
      <c r="G57" s="270">
        <f>ROUND(SUM(C57:F57),3)</f>
        <v>0</v>
      </c>
      <c r="H57" s="273">
        <v>0</v>
      </c>
      <c r="I57" s="273">
        <v>0</v>
      </c>
      <c r="J57" s="273">
        <v>0</v>
      </c>
      <c r="K57" s="274">
        <v>0</v>
      </c>
      <c r="L57" s="270">
        <f>ROUND(SUM(H57:K57),3)</f>
        <v>0</v>
      </c>
      <c r="M57" s="273">
        <v>0</v>
      </c>
      <c r="N57" s="273">
        <v>0</v>
      </c>
      <c r="O57" s="273">
        <v>0</v>
      </c>
      <c r="P57" s="274">
        <v>0</v>
      </c>
      <c r="Q57" s="270">
        <f>ROUND(SUM(M57:P57),3)</f>
        <v>0</v>
      </c>
    </row>
    <row r="58" spans="1:17" outlineLevel="1" x14ac:dyDescent="0.25">
      <c r="A58" s="253" t="s">
        <v>90</v>
      </c>
      <c r="B58" s="247" t="s">
        <v>102</v>
      </c>
      <c r="C58" s="266">
        <f t="shared" ref="C58:Q58" si="22">ROUND(C59+C60-C61+C62,3)</f>
        <v>0.55000000000000004</v>
      </c>
      <c r="D58" s="275">
        <f t="shared" si="22"/>
        <v>0.55000000000000004</v>
      </c>
      <c r="E58" s="275">
        <f t="shared" si="22"/>
        <v>0.55000000000000004</v>
      </c>
      <c r="F58" s="276">
        <f t="shared" si="22"/>
        <v>0.55000000000000004</v>
      </c>
      <c r="G58" s="389">
        <f t="shared" si="22"/>
        <v>2.2000000000000002</v>
      </c>
      <c r="H58" s="266">
        <f t="shared" si="22"/>
        <v>0.55000000000000004</v>
      </c>
      <c r="I58" s="275">
        <f t="shared" si="22"/>
        <v>0.55000000000000004</v>
      </c>
      <c r="J58" s="275">
        <f t="shared" si="22"/>
        <v>0.55000000000000004</v>
      </c>
      <c r="K58" s="276">
        <f t="shared" si="22"/>
        <v>0.55000000000000004</v>
      </c>
      <c r="L58" s="389">
        <f t="shared" si="22"/>
        <v>2.2000000000000002</v>
      </c>
      <c r="M58" s="266">
        <f t="shared" si="22"/>
        <v>0.55000000000000004</v>
      </c>
      <c r="N58" s="275">
        <f t="shared" si="22"/>
        <v>0.55000000000000004</v>
      </c>
      <c r="O58" s="275">
        <f t="shared" si="22"/>
        <v>0.55000000000000004</v>
      </c>
      <c r="P58" s="276">
        <f t="shared" si="22"/>
        <v>0.55000000000000004</v>
      </c>
      <c r="Q58" s="389">
        <f t="shared" si="22"/>
        <v>2.2000000000000002</v>
      </c>
    </row>
    <row r="59" spans="1:17" s="15" customFormat="1" ht="30" outlineLevel="3" x14ac:dyDescent="0.25">
      <c r="A59" s="254" t="s">
        <v>49</v>
      </c>
      <c r="B59" s="248" t="s">
        <v>102</v>
      </c>
      <c r="C59" s="268">
        <f>ROUND('1.Статистика'!N53,3)</f>
        <v>0.55000000000000004</v>
      </c>
      <c r="D59" s="268">
        <f>ROUND('1.Статистика'!O53,3)</f>
        <v>0.55000000000000004</v>
      </c>
      <c r="E59" s="268">
        <f>ROUND('1.Статистика'!P53,3)</f>
        <v>0.55000000000000004</v>
      </c>
      <c r="F59" s="269">
        <f>ROUND('1.Статистика'!Q53,3)</f>
        <v>0.55000000000000004</v>
      </c>
      <c r="G59" s="270">
        <f>ROUND(SUM(C59:F59),3)</f>
        <v>2.2000000000000002</v>
      </c>
      <c r="H59" s="268">
        <f>ROUND(C58,3)</f>
        <v>0.55000000000000004</v>
      </c>
      <c r="I59" s="277">
        <f>ROUND(D58,3)</f>
        <v>0.55000000000000004</v>
      </c>
      <c r="J59" s="277">
        <f>ROUND(E58,3)</f>
        <v>0.55000000000000004</v>
      </c>
      <c r="K59" s="278">
        <f>ROUND(F58,3)</f>
        <v>0.55000000000000004</v>
      </c>
      <c r="L59" s="270">
        <f>ROUND(SUM(H59:K59),3)</f>
        <v>2.2000000000000002</v>
      </c>
      <c r="M59" s="268">
        <f>ROUND(H58,3)</f>
        <v>0.55000000000000004</v>
      </c>
      <c r="N59" s="277">
        <f>ROUND(I58,3)</f>
        <v>0.55000000000000004</v>
      </c>
      <c r="O59" s="277">
        <f>ROUND(J58,3)</f>
        <v>0.55000000000000004</v>
      </c>
      <c r="P59" s="278">
        <f>ROUND(K58,3)</f>
        <v>0.55000000000000004</v>
      </c>
      <c r="Q59" s="270">
        <f>ROUND(SUM(M59:P59),3)</f>
        <v>2.2000000000000002</v>
      </c>
    </row>
    <row r="60" spans="1:17" s="15" customFormat="1" ht="30" outlineLevel="3" x14ac:dyDescent="0.25">
      <c r="A60" s="254" t="s">
        <v>50</v>
      </c>
      <c r="B60" s="248" t="s">
        <v>102</v>
      </c>
      <c r="C60" s="268">
        <f>ROUND('1.Статистика'!D19,3)</f>
        <v>0</v>
      </c>
      <c r="D60" s="277">
        <f>ROUND('1.Статистика'!E19,3)</f>
        <v>0</v>
      </c>
      <c r="E60" s="277">
        <f>ROUND('1.Статистика'!F19,3)</f>
        <v>0</v>
      </c>
      <c r="F60" s="278">
        <f>ROUND('1.Статистика'!G19,3)</f>
        <v>0</v>
      </c>
      <c r="G60" s="270">
        <f>ROUND(SUM(C60:F60),3)</f>
        <v>0</v>
      </c>
      <c r="H60" s="268">
        <f>ROUND('1.Статистика'!I19,3)</f>
        <v>0</v>
      </c>
      <c r="I60" s="277">
        <f>ROUND('1.Статистика'!J19,3)</f>
        <v>0</v>
      </c>
      <c r="J60" s="277">
        <f>ROUND('1.Статистика'!K19,3)</f>
        <v>0</v>
      </c>
      <c r="K60" s="278">
        <f>ROUND('1.Статистика'!L19,3)</f>
        <v>0</v>
      </c>
      <c r="L60" s="270">
        <f>ROUND(SUM(H60:K60),3)</f>
        <v>0</v>
      </c>
      <c r="M60" s="268">
        <f>ROUND('1.Статистика'!N19,3)</f>
        <v>0</v>
      </c>
      <c r="N60" s="277">
        <f>ROUND('1.Статистика'!O19,3)</f>
        <v>0</v>
      </c>
      <c r="O60" s="277">
        <f>ROUND('1.Статистика'!P19,3)</f>
        <v>0</v>
      </c>
      <c r="P60" s="278">
        <f>ROUND('1.Статистика'!Q19,3)</f>
        <v>0</v>
      </c>
      <c r="Q60" s="270">
        <f>ROUND(SUM(M60:P60),3)</f>
        <v>0</v>
      </c>
    </row>
    <row r="61" spans="1:17" s="15" customFormat="1" ht="30" outlineLevel="3" x14ac:dyDescent="0.25">
      <c r="A61" s="254" t="s">
        <v>51</v>
      </c>
      <c r="B61" s="248" t="s">
        <v>102</v>
      </c>
      <c r="C61" s="446"/>
      <c r="D61" s="447"/>
      <c r="E61" s="447"/>
      <c r="F61" s="448"/>
      <c r="G61" s="270">
        <f>ROUND(SUM(C61:F61),3)</f>
        <v>0</v>
      </c>
      <c r="H61" s="446"/>
      <c r="I61" s="447"/>
      <c r="J61" s="447"/>
      <c r="K61" s="448"/>
      <c r="L61" s="270">
        <f>ROUND(SUM(H61:K61),3)</f>
        <v>0</v>
      </c>
      <c r="M61" s="446"/>
      <c r="N61" s="447"/>
      <c r="O61" s="447"/>
      <c r="P61" s="448"/>
      <c r="Q61" s="270">
        <f>ROUND(SUM(M61:P61),3)</f>
        <v>0</v>
      </c>
    </row>
    <row r="62" spans="1:17" s="15" customFormat="1" ht="30" outlineLevel="3" x14ac:dyDescent="0.25">
      <c r="A62" s="254" t="s">
        <v>52</v>
      </c>
      <c r="B62" s="248" t="s">
        <v>102</v>
      </c>
      <c r="C62" s="273">
        <v>0</v>
      </c>
      <c r="D62" s="273">
        <v>0</v>
      </c>
      <c r="E62" s="273">
        <v>0</v>
      </c>
      <c r="F62" s="274">
        <v>0</v>
      </c>
      <c r="G62" s="270">
        <f>ROUND(SUM(C62:F62),3)</f>
        <v>0</v>
      </c>
      <c r="H62" s="273">
        <v>0</v>
      </c>
      <c r="I62" s="273">
        <v>0</v>
      </c>
      <c r="J62" s="273">
        <v>0</v>
      </c>
      <c r="K62" s="274">
        <v>0</v>
      </c>
      <c r="L62" s="270">
        <f>ROUND(SUM(H62:K62),3)</f>
        <v>0</v>
      </c>
      <c r="M62" s="273">
        <v>0</v>
      </c>
      <c r="N62" s="273">
        <v>0</v>
      </c>
      <c r="O62" s="273">
        <v>0</v>
      </c>
      <c r="P62" s="274">
        <v>0</v>
      </c>
      <c r="Q62" s="270">
        <f>ROUND(SUM(M62:P62),3)</f>
        <v>0</v>
      </c>
    </row>
    <row r="63" spans="1:17" s="16" customFormat="1" x14ac:dyDescent="0.25">
      <c r="A63" s="397" t="s">
        <v>140</v>
      </c>
      <c r="B63" s="401" t="s">
        <v>102</v>
      </c>
      <c r="C63" s="384">
        <f t="shared" ref="C63:Q63" si="23">ROUND(C64+C69+C74,3)</f>
        <v>0</v>
      </c>
      <c r="D63" s="384">
        <f t="shared" si="23"/>
        <v>0</v>
      </c>
      <c r="E63" s="384">
        <f t="shared" si="23"/>
        <v>0</v>
      </c>
      <c r="F63" s="385">
        <f t="shared" si="23"/>
        <v>0</v>
      </c>
      <c r="G63" s="265">
        <f t="shared" si="23"/>
        <v>0</v>
      </c>
      <c r="H63" s="384">
        <f t="shared" si="23"/>
        <v>0</v>
      </c>
      <c r="I63" s="384">
        <f t="shared" si="23"/>
        <v>0</v>
      </c>
      <c r="J63" s="384">
        <f t="shared" si="23"/>
        <v>0</v>
      </c>
      <c r="K63" s="385">
        <f t="shared" si="23"/>
        <v>0</v>
      </c>
      <c r="L63" s="265">
        <f t="shared" si="23"/>
        <v>0</v>
      </c>
      <c r="M63" s="384">
        <f t="shared" si="23"/>
        <v>0</v>
      </c>
      <c r="N63" s="384">
        <f t="shared" si="23"/>
        <v>0</v>
      </c>
      <c r="O63" s="384">
        <f t="shared" si="23"/>
        <v>0</v>
      </c>
      <c r="P63" s="385">
        <f t="shared" si="23"/>
        <v>0</v>
      </c>
      <c r="Q63" s="265">
        <f t="shared" si="23"/>
        <v>0</v>
      </c>
    </row>
    <row r="64" spans="1:17" outlineLevel="1" x14ac:dyDescent="0.25">
      <c r="A64" s="253" t="s">
        <v>94</v>
      </c>
      <c r="B64" s="247" t="s">
        <v>102</v>
      </c>
      <c r="C64" s="266">
        <f t="shared" ref="C64:Q64" si="24">ROUND(C65+C66-C67+C68,3)</f>
        <v>0</v>
      </c>
      <c r="D64" s="275">
        <f t="shared" si="24"/>
        <v>0</v>
      </c>
      <c r="E64" s="275">
        <f t="shared" si="24"/>
        <v>0</v>
      </c>
      <c r="F64" s="276">
        <f t="shared" si="24"/>
        <v>0</v>
      </c>
      <c r="G64" s="389">
        <f t="shared" si="24"/>
        <v>0</v>
      </c>
      <c r="H64" s="266">
        <f t="shared" si="24"/>
        <v>0</v>
      </c>
      <c r="I64" s="275">
        <f t="shared" si="24"/>
        <v>0</v>
      </c>
      <c r="J64" s="275">
        <f t="shared" si="24"/>
        <v>0</v>
      </c>
      <c r="K64" s="276">
        <f t="shared" si="24"/>
        <v>0</v>
      </c>
      <c r="L64" s="389">
        <f t="shared" si="24"/>
        <v>0</v>
      </c>
      <c r="M64" s="266">
        <f t="shared" si="24"/>
        <v>0</v>
      </c>
      <c r="N64" s="275">
        <f t="shared" si="24"/>
        <v>0</v>
      </c>
      <c r="O64" s="275">
        <f t="shared" si="24"/>
        <v>0</v>
      </c>
      <c r="P64" s="276">
        <f t="shared" si="24"/>
        <v>0</v>
      </c>
      <c r="Q64" s="389">
        <f t="shared" si="24"/>
        <v>0</v>
      </c>
    </row>
    <row r="65" spans="1:17" s="15" customFormat="1" ht="30" outlineLevel="3" x14ac:dyDescent="0.25">
      <c r="A65" s="254" t="s">
        <v>49</v>
      </c>
      <c r="B65" s="248" t="s">
        <v>102</v>
      </c>
      <c r="C65" s="268">
        <f>ROUND('1.Статистика'!N55,3)</f>
        <v>0</v>
      </c>
      <c r="D65" s="268">
        <f>ROUND('1.Статистика'!O55,3)</f>
        <v>0</v>
      </c>
      <c r="E65" s="268">
        <f>ROUND('1.Статистика'!P55,3)</f>
        <v>0</v>
      </c>
      <c r="F65" s="268">
        <f>ROUND('1.Статистика'!Q55,3)</f>
        <v>0</v>
      </c>
      <c r="G65" s="270">
        <f>ROUND(SUM(C65:F65),3)</f>
        <v>0</v>
      </c>
      <c r="H65" s="268">
        <f>ROUND(C64,3)</f>
        <v>0</v>
      </c>
      <c r="I65" s="277">
        <f>ROUND(D64,3)</f>
        <v>0</v>
      </c>
      <c r="J65" s="277">
        <f>ROUND(E64,3)</f>
        <v>0</v>
      </c>
      <c r="K65" s="278">
        <f>ROUND(F64,3)</f>
        <v>0</v>
      </c>
      <c r="L65" s="270">
        <f>ROUND(SUM(H65:K65),3)</f>
        <v>0</v>
      </c>
      <c r="M65" s="268">
        <f>ROUND(H64,3)</f>
        <v>0</v>
      </c>
      <c r="N65" s="277">
        <f>ROUND(I64,3)</f>
        <v>0</v>
      </c>
      <c r="O65" s="277">
        <f>ROUND(J64,3)</f>
        <v>0</v>
      </c>
      <c r="P65" s="278">
        <f>ROUND(K64,3)</f>
        <v>0</v>
      </c>
      <c r="Q65" s="270">
        <f>ROUND(SUM(M65:P65),3)</f>
        <v>0</v>
      </c>
    </row>
    <row r="66" spans="1:17" s="15" customFormat="1" ht="30" outlineLevel="3" x14ac:dyDescent="0.25">
      <c r="A66" s="254" t="s">
        <v>50</v>
      </c>
      <c r="B66" s="248" t="s">
        <v>102</v>
      </c>
      <c r="C66" s="268">
        <f>ROUND('1.Статистика'!D22,3)</f>
        <v>0</v>
      </c>
      <c r="D66" s="268">
        <f>ROUND('1.Статистика'!E22,3)</f>
        <v>0</v>
      </c>
      <c r="E66" s="268">
        <f>ROUND('1.Статистика'!F22,3)</f>
        <v>0</v>
      </c>
      <c r="F66" s="268">
        <f>ROUND('1.Статистика'!G22,3)</f>
        <v>0</v>
      </c>
      <c r="G66" s="270">
        <f>ROUND(SUM(C66:F66),3)</f>
        <v>0</v>
      </c>
      <c r="H66" s="268">
        <f>ROUND('1.Статистика'!I22,3)</f>
        <v>0</v>
      </c>
      <c r="I66" s="268">
        <f>ROUND('1.Статистика'!J22,3)</f>
        <v>0</v>
      </c>
      <c r="J66" s="268">
        <f>ROUND('1.Статистика'!K22,3)</f>
        <v>0</v>
      </c>
      <c r="K66" s="268">
        <f>ROUND('1.Статистика'!L22,3)</f>
        <v>0</v>
      </c>
      <c r="L66" s="270">
        <f>ROUND(SUM(H66:K66),3)</f>
        <v>0</v>
      </c>
      <c r="M66" s="268">
        <f>ROUND('1.Статистика'!N22,3)</f>
        <v>0</v>
      </c>
      <c r="N66" s="268">
        <f>ROUND('1.Статистика'!O22,3)</f>
        <v>0</v>
      </c>
      <c r="O66" s="268">
        <f>ROUND('1.Статистика'!P22,3)</f>
        <v>0</v>
      </c>
      <c r="P66" s="268">
        <f>ROUND('1.Статистика'!Q22,3)</f>
        <v>0</v>
      </c>
      <c r="Q66" s="270">
        <f>ROUND(SUM(M66:P66),3)</f>
        <v>0</v>
      </c>
    </row>
    <row r="67" spans="1:17" s="15" customFormat="1" ht="30" outlineLevel="3" x14ac:dyDescent="0.25">
      <c r="A67" s="254" t="s">
        <v>51</v>
      </c>
      <c r="B67" s="248" t="s">
        <v>102</v>
      </c>
      <c r="C67" s="446"/>
      <c r="D67" s="447"/>
      <c r="E67" s="447"/>
      <c r="F67" s="448"/>
      <c r="G67" s="270">
        <f>ROUND(SUM(C67:F67),3)</f>
        <v>0</v>
      </c>
      <c r="H67" s="446"/>
      <c r="I67" s="447"/>
      <c r="J67" s="447"/>
      <c r="K67" s="448"/>
      <c r="L67" s="270">
        <f>ROUND(SUM(H67:K67),3)</f>
        <v>0</v>
      </c>
      <c r="M67" s="446"/>
      <c r="N67" s="447"/>
      <c r="O67" s="447"/>
      <c r="P67" s="448"/>
      <c r="Q67" s="270">
        <f>ROUND(SUM(M67:P67),3)</f>
        <v>0</v>
      </c>
    </row>
    <row r="68" spans="1:17" s="15" customFormat="1" ht="30" outlineLevel="3" x14ac:dyDescent="0.25">
      <c r="A68" s="254" t="s">
        <v>52</v>
      </c>
      <c r="B68" s="248" t="s">
        <v>102</v>
      </c>
      <c r="C68" s="273">
        <v>0</v>
      </c>
      <c r="D68" s="273">
        <v>0</v>
      </c>
      <c r="E68" s="273">
        <v>0</v>
      </c>
      <c r="F68" s="274">
        <v>0</v>
      </c>
      <c r="G68" s="270">
        <f>ROUND(SUM(C68:F68),3)</f>
        <v>0</v>
      </c>
      <c r="H68" s="273">
        <v>0</v>
      </c>
      <c r="I68" s="273">
        <v>0</v>
      </c>
      <c r="J68" s="273">
        <v>0</v>
      </c>
      <c r="K68" s="274">
        <v>0</v>
      </c>
      <c r="L68" s="270">
        <f>ROUND(SUM(H68:K68),3)</f>
        <v>0</v>
      </c>
      <c r="M68" s="273"/>
      <c r="N68" s="273"/>
      <c r="O68" s="273"/>
      <c r="P68" s="274"/>
      <c r="Q68" s="270">
        <f>ROUND(SUM(M68:P68),3)</f>
        <v>0</v>
      </c>
    </row>
    <row r="69" spans="1:17" outlineLevel="1" x14ac:dyDescent="0.25">
      <c r="A69" s="253" t="s">
        <v>89</v>
      </c>
      <c r="B69" s="247" t="s">
        <v>102</v>
      </c>
      <c r="C69" s="266">
        <f t="shared" ref="C69:Q69" si="25">ROUND(C70+C71-C72+C73,3)</f>
        <v>0</v>
      </c>
      <c r="D69" s="275">
        <f t="shared" si="25"/>
        <v>0</v>
      </c>
      <c r="E69" s="275">
        <f t="shared" si="25"/>
        <v>0</v>
      </c>
      <c r="F69" s="276">
        <f t="shared" si="25"/>
        <v>0</v>
      </c>
      <c r="G69" s="389">
        <f t="shared" si="25"/>
        <v>0</v>
      </c>
      <c r="H69" s="266">
        <f t="shared" si="25"/>
        <v>0</v>
      </c>
      <c r="I69" s="275">
        <f t="shared" si="25"/>
        <v>0</v>
      </c>
      <c r="J69" s="275">
        <f t="shared" si="25"/>
        <v>0</v>
      </c>
      <c r="K69" s="276">
        <f t="shared" si="25"/>
        <v>0</v>
      </c>
      <c r="L69" s="389">
        <f t="shared" si="25"/>
        <v>0</v>
      </c>
      <c r="M69" s="266">
        <f t="shared" si="25"/>
        <v>0</v>
      </c>
      <c r="N69" s="275">
        <f t="shared" si="25"/>
        <v>0</v>
      </c>
      <c r="O69" s="275">
        <f t="shared" si="25"/>
        <v>0</v>
      </c>
      <c r="P69" s="276">
        <f t="shared" si="25"/>
        <v>0</v>
      </c>
      <c r="Q69" s="389">
        <f t="shared" si="25"/>
        <v>0</v>
      </c>
    </row>
    <row r="70" spans="1:17" s="15" customFormat="1" ht="30" outlineLevel="3" x14ac:dyDescent="0.25">
      <c r="A70" s="254" t="s">
        <v>49</v>
      </c>
      <c r="B70" s="248" t="s">
        <v>102</v>
      </c>
      <c r="C70" s="268">
        <f>ROUND('1.Статистика'!N56,3)</f>
        <v>0</v>
      </c>
      <c r="D70" s="268">
        <f>ROUND('1.Статистика'!O56,3)</f>
        <v>0</v>
      </c>
      <c r="E70" s="268">
        <f>ROUND('1.Статистика'!P56,3)</f>
        <v>0</v>
      </c>
      <c r="F70" s="268">
        <f>ROUND('1.Статистика'!Q56,3)</f>
        <v>0</v>
      </c>
      <c r="G70" s="270">
        <f>ROUND(SUM(C70:F70),3)</f>
        <v>0</v>
      </c>
      <c r="H70" s="268">
        <f>ROUND(C69,3)</f>
        <v>0</v>
      </c>
      <c r="I70" s="277">
        <f>ROUND(D69,3)</f>
        <v>0</v>
      </c>
      <c r="J70" s="277">
        <f>ROUND(E69,3)</f>
        <v>0</v>
      </c>
      <c r="K70" s="278">
        <f>ROUND(F69,3)</f>
        <v>0</v>
      </c>
      <c r="L70" s="270">
        <f>ROUND(SUM(H70:K70),3)</f>
        <v>0</v>
      </c>
      <c r="M70" s="268">
        <f>ROUND(H69,3)</f>
        <v>0</v>
      </c>
      <c r="N70" s="277">
        <f>ROUND(I69,3)</f>
        <v>0</v>
      </c>
      <c r="O70" s="277">
        <f>ROUND(J69,3)</f>
        <v>0</v>
      </c>
      <c r="P70" s="278">
        <f>ROUND(K69,3)</f>
        <v>0</v>
      </c>
      <c r="Q70" s="270">
        <f>ROUND(SUM(M70:P70),3)</f>
        <v>0</v>
      </c>
    </row>
    <row r="71" spans="1:17" s="15" customFormat="1" ht="30" outlineLevel="3" x14ac:dyDescent="0.25">
      <c r="A71" s="254" t="s">
        <v>50</v>
      </c>
      <c r="B71" s="248" t="s">
        <v>102</v>
      </c>
      <c r="C71" s="268">
        <f>ROUND('1.Статистика'!D23,3)</f>
        <v>0</v>
      </c>
      <c r="D71" s="268">
        <f>ROUND('1.Статистика'!E23,3)</f>
        <v>0</v>
      </c>
      <c r="E71" s="268">
        <f>ROUND('1.Статистика'!F23,3)</f>
        <v>0</v>
      </c>
      <c r="F71" s="268">
        <f>ROUND('1.Статистика'!G23,3)</f>
        <v>0</v>
      </c>
      <c r="G71" s="270">
        <f>ROUND(SUM(C71:F71),3)</f>
        <v>0</v>
      </c>
      <c r="H71" s="268">
        <f>ROUND('1.Статистика'!I23,3)</f>
        <v>0</v>
      </c>
      <c r="I71" s="268">
        <f>ROUND('1.Статистика'!J23,3)</f>
        <v>0</v>
      </c>
      <c r="J71" s="268">
        <f>ROUND('1.Статистика'!K23,3)</f>
        <v>0</v>
      </c>
      <c r="K71" s="268">
        <f>ROUND('1.Статистика'!L23,3)</f>
        <v>0</v>
      </c>
      <c r="L71" s="270">
        <f>ROUND(SUM(H71:K71),3)</f>
        <v>0</v>
      </c>
      <c r="M71" s="268">
        <f>ROUND('1.Статистика'!N23,3)</f>
        <v>0</v>
      </c>
      <c r="N71" s="268">
        <f>ROUND('1.Статистика'!O23,3)</f>
        <v>0</v>
      </c>
      <c r="O71" s="268">
        <f>ROUND('1.Статистика'!P23,3)</f>
        <v>0</v>
      </c>
      <c r="P71" s="268">
        <f>ROUND('1.Статистика'!Q23,3)</f>
        <v>0</v>
      </c>
      <c r="Q71" s="270">
        <f>ROUND(SUM(M71:P71),3)</f>
        <v>0</v>
      </c>
    </row>
    <row r="72" spans="1:17" s="15" customFormat="1" ht="30" outlineLevel="3" x14ac:dyDescent="0.25">
      <c r="A72" s="254" t="s">
        <v>51</v>
      </c>
      <c r="B72" s="248" t="s">
        <v>102</v>
      </c>
      <c r="C72" s="446"/>
      <c r="D72" s="447"/>
      <c r="E72" s="447"/>
      <c r="F72" s="448"/>
      <c r="G72" s="270">
        <f>ROUND(SUM(C72:F72),3)</f>
        <v>0</v>
      </c>
      <c r="H72" s="446"/>
      <c r="I72" s="447"/>
      <c r="J72" s="447"/>
      <c r="K72" s="448"/>
      <c r="L72" s="270">
        <f>ROUND(SUM(H72:K72),3)</f>
        <v>0</v>
      </c>
      <c r="M72" s="446"/>
      <c r="N72" s="447"/>
      <c r="O72" s="447"/>
      <c r="P72" s="448"/>
      <c r="Q72" s="270">
        <f>ROUND(SUM(M72:P72),3)</f>
        <v>0</v>
      </c>
    </row>
    <row r="73" spans="1:17" s="15" customFormat="1" ht="30" outlineLevel="3" x14ac:dyDescent="0.25">
      <c r="A73" s="254" t="s">
        <v>52</v>
      </c>
      <c r="B73" s="248" t="s">
        <v>102</v>
      </c>
      <c r="C73" s="273">
        <v>0</v>
      </c>
      <c r="D73" s="273">
        <v>0</v>
      </c>
      <c r="E73" s="273">
        <v>0</v>
      </c>
      <c r="F73" s="274">
        <v>0</v>
      </c>
      <c r="G73" s="270">
        <f>ROUND(SUM(C73:F73),3)</f>
        <v>0</v>
      </c>
      <c r="H73" s="273">
        <v>0</v>
      </c>
      <c r="I73" s="273">
        <v>0</v>
      </c>
      <c r="J73" s="273">
        <v>0</v>
      </c>
      <c r="K73" s="274">
        <v>0</v>
      </c>
      <c r="L73" s="270">
        <f>ROUND(SUM(H73:K73),3)</f>
        <v>0</v>
      </c>
      <c r="M73" s="273">
        <v>0</v>
      </c>
      <c r="N73" s="273">
        <v>0</v>
      </c>
      <c r="O73" s="273">
        <v>0</v>
      </c>
      <c r="P73" s="274">
        <v>0</v>
      </c>
      <c r="Q73" s="270">
        <f>ROUND(SUM(M73:P73),3)</f>
        <v>0</v>
      </c>
    </row>
    <row r="74" spans="1:17" outlineLevel="1" x14ac:dyDescent="0.25">
      <c r="A74" s="253" t="s">
        <v>90</v>
      </c>
      <c r="B74" s="247" t="s">
        <v>102</v>
      </c>
      <c r="C74" s="266">
        <f t="shared" ref="C74:Q74" si="26">ROUND(C75+C76-C77+C78,3)</f>
        <v>0</v>
      </c>
      <c r="D74" s="275">
        <f t="shared" si="26"/>
        <v>0</v>
      </c>
      <c r="E74" s="275">
        <f t="shared" si="26"/>
        <v>0</v>
      </c>
      <c r="F74" s="276">
        <f t="shared" si="26"/>
        <v>0</v>
      </c>
      <c r="G74" s="389">
        <f t="shared" si="26"/>
        <v>0</v>
      </c>
      <c r="H74" s="266">
        <f t="shared" si="26"/>
        <v>0</v>
      </c>
      <c r="I74" s="275">
        <f t="shared" si="26"/>
        <v>0</v>
      </c>
      <c r="J74" s="275">
        <f t="shared" si="26"/>
        <v>0</v>
      </c>
      <c r="K74" s="276">
        <f t="shared" si="26"/>
        <v>0</v>
      </c>
      <c r="L74" s="389">
        <f t="shared" si="26"/>
        <v>0</v>
      </c>
      <c r="M74" s="266">
        <f t="shared" si="26"/>
        <v>0</v>
      </c>
      <c r="N74" s="275">
        <f t="shared" si="26"/>
        <v>0</v>
      </c>
      <c r="O74" s="275">
        <f t="shared" si="26"/>
        <v>0</v>
      </c>
      <c r="P74" s="276">
        <f t="shared" si="26"/>
        <v>0</v>
      </c>
      <c r="Q74" s="389">
        <f t="shared" si="26"/>
        <v>0</v>
      </c>
    </row>
    <row r="75" spans="1:17" s="15" customFormat="1" ht="30" outlineLevel="3" x14ac:dyDescent="0.25">
      <c r="A75" s="254" t="s">
        <v>49</v>
      </c>
      <c r="B75" s="248" t="s">
        <v>102</v>
      </c>
      <c r="C75" s="268">
        <f>ROUND('1.Статистика'!N57,3)</f>
        <v>0</v>
      </c>
      <c r="D75" s="268">
        <f>ROUND('1.Статистика'!O57,3)</f>
        <v>0</v>
      </c>
      <c r="E75" s="268">
        <f>ROUND('1.Статистика'!P57,3)</f>
        <v>0</v>
      </c>
      <c r="F75" s="268">
        <f>ROUND('1.Статистика'!Q57,3)</f>
        <v>0</v>
      </c>
      <c r="G75" s="270">
        <f>ROUND(SUM(C75:F75),3)</f>
        <v>0</v>
      </c>
      <c r="H75" s="268">
        <f>ROUND(C74,3)</f>
        <v>0</v>
      </c>
      <c r="I75" s="277">
        <f>ROUND(D74,3)</f>
        <v>0</v>
      </c>
      <c r="J75" s="277">
        <f>ROUND(E74,3)</f>
        <v>0</v>
      </c>
      <c r="K75" s="278">
        <f>ROUND(F74,3)</f>
        <v>0</v>
      </c>
      <c r="L75" s="270">
        <f>ROUND(SUM(H75:K75),3)</f>
        <v>0</v>
      </c>
      <c r="M75" s="268">
        <f>ROUND(H74,3)</f>
        <v>0</v>
      </c>
      <c r="N75" s="277">
        <f>ROUND(I74,3)</f>
        <v>0</v>
      </c>
      <c r="O75" s="277">
        <f>ROUND(J74,3)</f>
        <v>0</v>
      </c>
      <c r="P75" s="278">
        <f>ROUND(K74,3)</f>
        <v>0</v>
      </c>
      <c r="Q75" s="270">
        <f>ROUND(SUM(M75:P75),3)</f>
        <v>0</v>
      </c>
    </row>
    <row r="76" spans="1:17" s="15" customFormat="1" ht="30" outlineLevel="3" x14ac:dyDescent="0.25">
      <c r="A76" s="254" t="s">
        <v>50</v>
      </c>
      <c r="B76" s="248" t="s">
        <v>102</v>
      </c>
      <c r="C76" s="268">
        <f>ROUND('1.Статистика'!D24,3)</f>
        <v>0</v>
      </c>
      <c r="D76" s="268">
        <f>ROUND('1.Статистика'!E24,3)</f>
        <v>0</v>
      </c>
      <c r="E76" s="268">
        <f>ROUND('1.Статистика'!F24,3)</f>
        <v>0</v>
      </c>
      <c r="F76" s="268">
        <f>ROUND('1.Статистика'!G24,3)</f>
        <v>0</v>
      </c>
      <c r="G76" s="270">
        <f>ROUND(SUM(C76:F76),3)</f>
        <v>0</v>
      </c>
      <c r="H76" s="268">
        <f>ROUND('1.Статистика'!I24,3)</f>
        <v>0</v>
      </c>
      <c r="I76" s="268">
        <f>ROUND('1.Статистика'!J24,3)</f>
        <v>0</v>
      </c>
      <c r="J76" s="268">
        <f>ROUND('1.Статистика'!K24,3)</f>
        <v>0</v>
      </c>
      <c r="K76" s="268">
        <f>ROUND('1.Статистика'!L24,3)</f>
        <v>0</v>
      </c>
      <c r="L76" s="270">
        <f>ROUND(SUM(H76:K76),3)</f>
        <v>0</v>
      </c>
      <c r="M76" s="268">
        <f>ROUND('1.Статистика'!N24,3)</f>
        <v>0</v>
      </c>
      <c r="N76" s="268">
        <f>ROUND('1.Статистика'!O24,3)</f>
        <v>0</v>
      </c>
      <c r="O76" s="268">
        <f>ROUND('1.Статистика'!P24,3)</f>
        <v>0</v>
      </c>
      <c r="P76" s="268">
        <f>ROUND('1.Статистика'!Q24,3)</f>
        <v>0</v>
      </c>
      <c r="Q76" s="270">
        <f>ROUND(SUM(M76:P76),3)</f>
        <v>0</v>
      </c>
    </row>
    <row r="77" spans="1:17" s="15" customFormat="1" ht="30" outlineLevel="3" x14ac:dyDescent="0.25">
      <c r="A77" s="254" t="s">
        <v>51</v>
      </c>
      <c r="B77" s="248" t="s">
        <v>102</v>
      </c>
      <c r="C77" s="446"/>
      <c r="D77" s="447"/>
      <c r="E77" s="447"/>
      <c r="F77" s="448"/>
      <c r="G77" s="270">
        <f>ROUND(SUM(C77:F77),3)</f>
        <v>0</v>
      </c>
      <c r="H77" s="446"/>
      <c r="I77" s="447"/>
      <c r="J77" s="447"/>
      <c r="K77" s="448"/>
      <c r="L77" s="270">
        <f>ROUND(SUM(H77:K77),3)</f>
        <v>0</v>
      </c>
      <c r="M77" s="446"/>
      <c r="N77" s="447"/>
      <c r="O77" s="447"/>
      <c r="P77" s="448"/>
      <c r="Q77" s="270">
        <f>ROUND(SUM(M77:P77),3)</f>
        <v>0</v>
      </c>
    </row>
    <row r="78" spans="1:17" s="15" customFormat="1" ht="30" outlineLevel="3" x14ac:dyDescent="0.25">
      <c r="A78" s="254" t="s">
        <v>52</v>
      </c>
      <c r="B78" s="248" t="s">
        <v>102</v>
      </c>
      <c r="C78" s="273"/>
      <c r="D78" s="273"/>
      <c r="E78" s="273"/>
      <c r="F78" s="274"/>
      <c r="G78" s="270">
        <f>ROUND(SUM(C78:F78),3)</f>
        <v>0</v>
      </c>
      <c r="H78" s="273">
        <v>0</v>
      </c>
      <c r="I78" s="273">
        <v>0</v>
      </c>
      <c r="J78" s="273">
        <v>0</v>
      </c>
      <c r="K78" s="274">
        <v>0</v>
      </c>
      <c r="L78" s="270">
        <f>ROUND(SUM(H78:K78),3)</f>
        <v>0</v>
      </c>
      <c r="M78" s="273">
        <v>0</v>
      </c>
      <c r="N78" s="273">
        <v>0</v>
      </c>
      <c r="O78" s="273">
        <v>0</v>
      </c>
      <c r="P78" s="274">
        <v>0</v>
      </c>
      <c r="Q78" s="270">
        <f>ROUND(SUM(M78:P78),3)</f>
        <v>0</v>
      </c>
    </row>
    <row r="79" spans="1:17" s="16" customFormat="1" x14ac:dyDescent="0.25">
      <c r="A79" s="397" t="s">
        <v>20</v>
      </c>
      <c r="B79" s="401" t="s">
        <v>102</v>
      </c>
      <c r="C79" s="384">
        <f t="shared" ref="C79:Q79" si="27">ROUND(C80+C82+C84,3)</f>
        <v>0</v>
      </c>
      <c r="D79" s="384">
        <f t="shared" si="27"/>
        <v>0</v>
      </c>
      <c r="E79" s="384">
        <f t="shared" si="27"/>
        <v>0</v>
      </c>
      <c r="F79" s="385">
        <f t="shared" si="27"/>
        <v>0</v>
      </c>
      <c r="G79" s="265">
        <f t="shared" si="27"/>
        <v>0</v>
      </c>
      <c r="H79" s="384">
        <f t="shared" si="27"/>
        <v>0</v>
      </c>
      <c r="I79" s="384">
        <f t="shared" si="27"/>
        <v>0</v>
      </c>
      <c r="J79" s="384">
        <f t="shared" si="27"/>
        <v>0</v>
      </c>
      <c r="K79" s="385">
        <f t="shared" si="27"/>
        <v>0</v>
      </c>
      <c r="L79" s="265">
        <f t="shared" si="27"/>
        <v>0</v>
      </c>
      <c r="M79" s="384">
        <f t="shared" si="27"/>
        <v>0</v>
      </c>
      <c r="N79" s="384">
        <f t="shared" si="27"/>
        <v>0</v>
      </c>
      <c r="O79" s="384">
        <f t="shared" si="27"/>
        <v>0</v>
      </c>
      <c r="P79" s="385">
        <f t="shared" si="27"/>
        <v>0</v>
      </c>
      <c r="Q79" s="265">
        <f t="shared" si="27"/>
        <v>0</v>
      </c>
    </row>
    <row r="80" spans="1:17" outlineLevel="1" x14ac:dyDescent="0.25">
      <c r="A80" s="253" t="s">
        <v>94</v>
      </c>
      <c r="B80" s="247" t="s">
        <v>102</v>
      </c>
      <c r="C80" s="266">
        <f>ROUND('1.Статистика'!D118*$G$80,3)</f>
        <v>0</v>
      </c>
      <c r="D80" s="275">
        <f>ROUND(G80-(C80+E80+F80),3)</f>
        <v>0</v>
      </c>
      <c r="E80" s="266">
        <f>ROUND('1.Статистика'!F118*$G$80,3)</f>
        <v>0</v>
      </c>
      <c r="F80" s="267">
        <f>ROUND('1.Статистика'!G118*$G$80,3)</f>
        <v>0</v>
      </c>
      <c r="G80" s="388">
        <f>ROUND(G$40*G81,3)</f>
        <v>0</v>
      </c>
      <c r="H80" s="266">
        <f>ROUND('1.Статистика'!D118*$L$80,3)</f>
        <v>0</v>
      </c>
      <c r="I80" s="275">
        <f>ROUND(L80-(H80+J80+K80),3)</f>
        <v>0</v>
      </c>
      <c r="J80" s="275">
        <f>ROUND('1.Статистика'!F118*$L$80,3)</f>
        <v>0</v>
      </c>
      <c r="K80" s="276">
        <f>ROUND('1.Статистика'!G118*$L$80,3)</f>
        <v>0</v>
      </c>
      <c r="L80" s="388">
        <f>ROUND(L$40*L81,3)</f>
        <v>0</v>
      </c>
      <c r="M80" s="266">
        <f>ROUND('1.Статистика'!D118*$Q$80,3)</f>
        <v>0</v>
      </c>
      <c r="N80" s="275">
        <f>ROUND(Q80-(M80+O80+P80),3)</f>
        <v>0</v>
      </c>
      <c r="O80" s="275">
        <f>ROUND('1.Статистика'!F118*$Q$80,3)</f>
        <v>0</v>
      </c>
      <c r="P80" s="276">
        <f>ROUND('1.Статистика'!G118*$Q$80,3)</f>
        <v>0</v>
      </c>
      <c r="Q80" s="388">
        <f>ROUND(Q$40*Q81,3)</f>
        <v>0</v>
      </c>
    </row>
    <row r="81" spans="1:17" s="15" customFormat="1" outlineLevel="2" x14ac:dyDescent="0.25">
      <c r="A81" s="252" t="s">
        <v>53</v>
      </c>
      <c r="B81" s="248" t="s">
        <v>115</v>
      </c>
      <c r="C81" s="283"/>
      <c r="D81" s="284"/>
      <c r="E81" s="283"/>
      <c r="F81" s="285"/>
      <c r="G81" s="585">
        <f>ROUND(IFERROR(('1.Статистика'!C59+'1.Статистика'!H59+'1.Статистика'!M59)/('1.Статистика'!C43+'1.Статистика'!H43+'1.Статистика'!M43),0),3)</f>
        <v>0</v>
      </c>
      <c r="H81" s="283"/>
      <c r="I81" s="284"/>
      <c r="J81" s="284"/>
      <c r="K81" s="286"/>
      <c r="L81" s="585">
        <f>ROUND(G81,3)</f>
        <v>0</v>
      </c>
      <c r="M81" s="283"/>
      <c r="N81" s="284"/>
      <c r="O81" s="284"/>
      <c r="P81" s="286"/>
      <c r="Q81" s="585">
        <f>ROUND(G81,3)</f>
        <v>0</v>
      </c>
    </row>
    <row r="82" spans="1:17" outlineLevel="1" x14ac:dyDescent="0.25">
      <c r="A82" s="253" t="s">
        <v>89</v>
      </c>
      <c r="B82" s="247" t="s">
        <v>102</v>
      </c>
      <c r="C82" s="266">
        <f>ROUND('1.Статистика'!D119*$G$82,3)</f>
        <v>0</v>
      </c>
      <c r="D82" s="275">
        <f>ROUND(G82-(C82+E82+F82),3)</f>
        <v>0</v>
      </c>
      <c r="E82" s="266">
        <f>ROUND('1.Статистика'!F119*$G$82,3)</f>
        <v>0</v>
      </c>
      <c r="F82" s="267">
        <f>ROUND('1.Статистика'!G119*$G$82,3)</f>
        <v>0</v>
      </c>
      <c r="G82" s="388">
        <f>ROUND(G$41*G83,3)</f>
        <v>0</v>
      </c>
      <c r="H82" s="266">
        <f>ROUND('1.Статистика'!D119*$L$82,3)</f>
        <v>0</v>
      </c>
      <c r="I82" s="275">
        <f>ROUND(L82-(H82+J82+K82),3)</f>
        <v>0</v>
      </c>
      <c r="J82" s="275">
        <f>ROUND('1.Статистика'!F119*$L$82,3)</f>
        <v>0</v>
      </c>
      <c r="K82" s="276">
        <f>ROUND('1.Статистика'!G119*$L$82,3)</f>
        <v>0</v>
      </c>
      <c r="L82" s="388">
        <f>ROUND(L$41*L83,3)</f>
        <v>0</v>
      </c>
      <c r="M82" s="266">
        <f>ROUND('1.Статистика'!D119*$Q$82,3)</f>
        <v>0</v>
      </c>
      <c r="N82" s="275">
        <f>ROUND(Q82-(M82+O82+P82),3)</f>
        <v>0</v>
      </c>
      <c r="O82" s="275">
        <f>ROUND('1.Статистика'!F119*$Q$82,3)</f>
        <v>0</v>
      </c>
      <c r="P82" s="276">
        <f>ROUND('1.Статистика'!G119*$Q$82,3)</f>
        <v>0</v>
      </c>
      <c r="Q82" s="388">
        <f>ROUND(Q$41*Q83,3)</f>
        <v>0</v>
      </c>
    </row>
    <row r="83" spans="1:17" s="15" customFormat="1" outlineLevel="2" x14ac:dyDescent="0.25">
      <c r="A83" s="252" t="s">
        <v>53</v>
      </c>
      <c r="B83" s="248" t="s">
        <v>115</v>
      </c>
      <c r="C83" s="283"/>
      <c r="D83" s="284"/>
      <c r="E83" s="283"/>
      <c r="F83" s="285"/>
      <c r="G83" s="585">
        <f>ROUND(IFERROR(('1.Статистика'!C60+'1.Статистика'!H60+'1.Статистика'!M60)/('1.Статистика'!C44+'1.Статистика'!H44+'1.Статистика'!M44),0),3)</f>
        <v>0</v>
      </c>
      <c r="H83" s="283"/>
      <c r="I83" s="284"/>
      <c r="J83" s="284"/>
      <c r="K83" s="286"/>
      <c r="L83" s="585">
        <f>ROUND(G83,3)</f>
        <v>0</v>
      </c>
      <c r="M83" s="283"/>
      <c r="N83" s="284"/>
      <c r="O83" s="284"/>
      <c r="P83" s="286"/>
      <c r="Q83" s="585">
        <f>ROUND(G83,3)</f>
        <v>0</v>
      </c>
    </row>
    <row r="84" spans="1:17" outlineLevel="1" x14ac:dyDescent="0.25">
      <c r="A84" s="253" t="s">
        <v>90</v>
      </c>
      <c r="B84" s="247" t="s">
        <v>102</v>
      </c>
      <c r="C84" s="266">
        <f>ROUND('1.Статистика'!D120*$G$84,3)</f>
        <v>0</v>
      </c>
      <c r="D84" s="275">
        <f>ROUND(G84-(C84+E84+F84),3)</f>
        <v>0</v>
      </c>
      <c r="E84" s="266">
        <f>ROUND('1.Статистика'!F120*$G$84,3)</f>
        <v>0</v>
      </c>
      <c r="F84" s="267">
        <f>ROUND('1.Статистика'!G120*$G$84,3)</f>
        <v>0</v>
      </c>
      <c r="G84" s="388">
        <f>ROUND(G$42*G85,3)</f>
        <v>0</v>
      </c>
      <c r="H84" s="266">
        <f>ROUND('1.Статистика'!D120*$L$84,3)</f>
        <v>0</v>
      </c>
      <c r="I84" s="275">
        <f>ROUND(L84-(H84+J84+K84),3)</f>
        <v>0</v>
      </c>
      <c r="J84" s="275">
        <f>ROUND('1.Статистика'!F120*$L$84,3)</f>
        <v>0</v>
      </c>
      <c r="K84" s="276">
        <f>ROUND('1.Статистика'!G120*$L$84,3)</f>
        <v>0</v>
      </c>
      <c r="L84" s="388">
        <f>ROUND(L$42*L85,3)</f>
        <v>0</v>
      </c>
      <c r="M84" s="266">
        <f>ROUND('1.Статистика'!D120*$Q$84,3)</f>
        <v>0</v>
      </c>
      <c r="N84" s="275">
        <f>ROUND(Q84-(M84+O84+P84),3)</f>
        <v>0</v>
      </c>
      <c r="O84" s="275">
        <f>ROUND('1.Статистика'!F120*$Q$84,3)</f>
        <v>0</v>
      </c>
      <c r="P84" s="276">
        <f>ROUND('1.Статистика'!G120*$Q$84,3)</f>
        <v>0</v>
      </c>
      <c r="Q84" s="388">
        <f>ROUND(Q$42*Q85,3)</f>
        <v>0</v>
      </c>
    </row>
    <row r="85" spans="1:17" s="15" customFormat="1" outlineLevel="2" x14ac:dyDescent="0.25">
      <c r="A85" s="252" t="s">
        <v>53</v>
      </c>
      <c r="B85" s="248" t="s">
        <v>115</v>
      </c>
      <c r="C85" s="283"/>
      <c r="D85" s="284"/>
      <c r="E85" s="283"/>
      <c r="F85" s="285"/>
      <c r="G85" s="585">
        <f>ROUND(IFERROR(('1.Статистика'!C61+'1.Статистика'!H61+'1.Статистика'!M61)/('1.Статистика'!C45+'1.Статистика'!H45+'1.Статистика'!M45),0),3)</f>
        <v>0</v>
      </c>
      <c r="H85" s="283"/>
      <c r="I85" s="284"/>
      <c r="J85" s="284"/>
      <c r="K85" s="286"/>
      <c r="L85" s="585">
        <f>ROUND(G85,3)</f>
        <v>0</v>
      </c>
      <c r="M85" s="283"/>
      <c r="N85" s="284"/>
      <c r="O85" s="284"/>
      <c r="P85" s="286"/>
      <c r="Q85" s="585">
        <f>ROUND(G85,3)</f>
        <v>0</v>
      </c>
    </row>
    <row r="86" spans="1:17" s="16" customFormat="1" x14ac:dyDescent="0.25">
      <c r="A86" s="397" t="s">
        <v>54</v>
      </c>
      <c r="B86" s="401" t="s">
        <v>102</v>
      </c>
      <c r="C86" s="384">
        <f t="shared" ref="C86:Q86" si="28">ROUND(C87+C90+C93,3)</f>
        <v>4.74</v>
      </c>
      <c r="D86" s="384">
        <f t="shared" si="28"/>
        <v>4.74</v>
      </c>
      <c r="E86" s="384">
        <f t="shared" si="28"/>
        <v>4.75</v>
      </c>
      <c r="F86" s="385">
        <f t="shared" si="28"/>
        <v>4.7450000000000001</v>
      </c>
      <c r="G86" s="265">
        <f t="shared" si="28"/>
        <v>18.975000000000001</v>
      </c>
      <c r="H86" s="384">
        <f t="shared" si="28"/>
        <v>4.74</v>
      </c>
      <c r="I86" s="384">
        <f t="shared" si="28"/>
        <v>4.74</v>
      </c>
      <c r="J86" s="384">
        <f t="shared" si="28"/>
        <v>4.75</v>
      </c>
      <c r="K86" s="385">
        <f t="shared" si="28"/>
        <v>4.7450000000000001</v>
      </c>
      <c r="L86" s="265">
        <f t="shared" si="28"/>
        <v>18.975000000000001</v>
      </c>
      <c r="M86" s="384">
        <f t="shared" si="28"/>
        <v>4.74</v>
      </c>
      <c r="N86" s="384">
        <f t="shared" si="28"/>
        <v>4.74</v>
      </c>
      <c r="O86" s="384">
        <f t="shared" si="28"/>
        <v>4.75</v>
      </c>
      <c r="P86" s="385">
        <f t="shared" si="28"/>
        <v>4.7450000000000001</v>
      </c>
      <c r="Q86" s="265">
        <f t="shared" si="28"/>
        <v>18.975000000000001</v>
      </c>
    </row>
    <row r="87" spans="1:17" outlineLevel="1" x14ac:dyDescent="0.25">
      <c r="A87" s="249" t="s">
        <v>94</v>
      </c>
      <c r="B87" s="247" t="s">
        <v>102</v>
      </c>
      <c r="C87" s="266">
        <f t="shared" ref="C87:Q87" si="29">ROUND(C88+C89,3)</f>
        <v>4.7</v>
      </c>
      <c r="D87" s="275">
        <f t="shared" si="29"/>
        <v>4.7</v>
      </c>
      <c r="E87" s="275">
        <f t="shared" si="29"/>
        <v>4.7</v>
      </c>
      <c r="F87" s="276">
        <f t="shared" si="29"/>
        <v>4.7</v>
      </c>
      <c r="G87" s="389">
        <f t="shared" si="29"/>
        <v>18.8</v>
      </c>
      <c r="H87" s="266">
        <f t="shared" si="29"/>
        <v>4.7</v>
      </c>
      <c r="I87" s="275">
        <f t="shared" si="29"/>
        <v>4.7</v>
      </c>
      <c r="J87" s="275">
        <f t="shared" si="29"/>
        <v>4.7</v>
      </c>
      <c r="K87" s="276">
        <f t="shared" si="29"/>
        <v>4.7</v>
      </c>
      <c r="L87" s="389">
        <f t="shared" si="29"/>
        <v>18.8</v>
      </c>
      <c r="M87" s="266">
        <f t="shared" si="29"/>
        <v>4.7</v>
      </c>
      <c r="N87" s="275">
        <f t="shared" si="29"/>
        <v>4.7</v>
      </c>
      <c r="O87" s="275">
        <f t="shared" si="29"/>
        <v>4.7</v>
      </c>
      <c r="P87" s="276">
        <f t="shared" si="29"/>
        <v>4.7</v>
      </c>
      <c r="Q87" s="389">
        <f t="shared" si="29"/>
        <v>18.8</v>
      </c>
    </row>
    <row r="88" spans="1:17" s="15" customFormat="1" outlineLevel="2" x14ac:dyDescent="0.25">
      <c r="A88" s="252" t="s">
        <v>55</v>
      </c>
      <c r="B88" s="248" t="s">
        <v>102</v>
      </c>
      <c r="C88" s="268">
        <f>ROUND('1.Статистика'!N63,3)</f>
        <v>4.9000000000000004</v>
      </c>
      <c r="D88" s="277">
        <f>ROUND('1.Статистика'!O63,3)</f>
        <v>4.9000000000000004</v>
      </c>
      <c r="E88" s="277">
        <f>ROUND('1.Статистика'!P63,3)</f>
        <v>5</v>
      </c>
      <c r="F88" s="278">
        <f>ROUND('1.Статистика'!Q63,3)</f>
        <v>5</v>
      </c>
      <c r="G88" s="270">
        <f>ROUND(SUM(C88:F88),3)</f>
        <v>19.8</v>
      </c>
      <c r="H88" s="268">
        <f>ROUND(C87,3)</f>
        <v>4.7</v>
      </c>
      <c r="I88" s="268">
        <f>ROUND(D87,3)</f>
        <v>4.7</v>
      </c>
      <c r="J88" s="268">
        <f>ROUND(E87,3)</f>
        <v>4.7</v>
      </c>
      <c r="K88" s="269">
        <f>ROUND(F87,3)</f>
        <v>4.7</v>
      </c>
      <c r="L88" s="270">
        <f>ROUND(SUM(H88:K88),3)</f>
        <v>18.8</v>
      </c>
      <c r="M88" s="268">
        <f>ROUND(H87,3)</f>
        <v>4.7</v>
      </c>
      <c r="N88" s="268">
        <f>ROUND(I87,3)</f>
        <v>4.7</v>
      </c>
      <c r="O88" s="268">
        <f>ROUND(J87,3)</f>
        <v>4.7</v>
      </c>
      <c r="P88" s="269">
        <f>ROUND(K87,3)</f>
        <v>4.7</v>
      </c>
      <c r="Q88" s="270">
        <f>ROUND(SUM(M88:P88),3)</f>
        <v>18.8</v>
      </c>
    </row>
    <row r="89" spans="1:17" s="15" customFormat="1" outlineLevel="2" x14ac:dyDescent="0.25">
      <c r="A89" s="252" t="s">
        <v>56</v>
      </c>
      <c r="B89" s="248" t="s">
        <v>102</v>
      </c>
      <c r="C89" s="273">
        <v>-0.2</v>
      </c>
      <c r="D89" s="279">
        <v>-0.2</v>
      </c>
      <c r="E89" s="279">
        <v>-0.3</v>
      </c>
      <c r="F89" s="280">
        <v>-0.3</v>
      </c>
      <c r="G89" s="270">
        <f>ROUND(SUM(C89:F89),3)</f>
        <v>-1</v>
      </c>
      <c r="H89" s="273">
        <v>0</v>
      </c>
      <c r="I89" s="279">
        <v>0</v>
      </c>
      <c r="J89" s="279">
        <v>0</v>
      </c>
      <c r="K89" s="280">
        <v>0</v>
      </c>
      <c r="L89" s="270">
        <f>ROUND(SUM(H89:K89),3)</f>
        <v>0</v>
      </c>
      <c r="M89" s="273">
        <v>0</v>
      </c>
      <c r="N89" s="279">
        <v>0</v>
      </c>
      <c r="O89" s="279">
        <v>0</v>
      </c>
      <c r="P89" s="280">
        <v>0</v>
      </c>
      <c r="Q89" s="270">
        <f>ROUND(SUM(M89:P89),3)</f>
        <v>0</v>
      </c>
    </row>
    <row r="90" spans="1:17" outlineLevel="1" x14ac:dyDescent="0.25">
      <c r="A90" s="249" t="s">
        <v>89</v>
      </c>
      <c r="B90" s="247" t="s">
        <v>102</v>
      </c>
      <c r="C90" s="266">
        <f t="shared" ref="C90:Q90" si="30">ROUND(C91+C92,3)</f>
        <v>0.03</v>
      </c>
      <c r="D90" s="275">
        <f t="shared" si="30"/>
        <v>0.03</v>
      </c>
      <c r="E90" s="275">
        <f t="shared" si="30"/>
        <v>0.04</v>
      </c>
      <c r="F90" s="276">
        <f t="shared" si="30"/>
        <v>3.5000000000000003E-2</v>
      </c>
      <c r="G90" s="389">
        <f t="shared" si="30"/>
        <v>0.13500000000000001</v>
      </c>
      <c r="H90" s="266">
        <f t="shared" si="30"/>
        <v>0.03</v>
      </c>
      <c r="I90" s="275">
        <f t="shared" si="30"/>
        <v>0.03</v>
      </c>
      <c r="J90" s="275">
        <f t="shared" si="30"/>
        <v>0.04</v>
      </c>
      <c r="K90" s="276">
        <f t="shared" si="30"/>
        <v>3.5000000000000003E-2</v>
      </c>
      <c r="L90" s="389">
        <f t="shared" si="30"/>
        <v>0.13500000000000001</v>
      </c>
      <c r="M90" s="266">
        <f t="shared" si="30"/>
        <v>0.03</v>
      </c>
      <c r="N90" s="275">
        <f t="shared" si="30"/>
        <v>0.03</v>
      </c>
      <c r="O90" s="275">
        <f t="shared" si="30"/>
        <v>0.04</v>
      </c>
      <c r="P90" s="276">
        <f t="shared" si="30"/>
        <v>3.5000000000000003E-2</v>
      </c>
      <c r="Q90" s="389">
        <f t="shared" si="30"/>
        <v>0.13500000000000001</v>
      </c>
    </row>
    <row r="91" spans="1:17" s="15" customFormat="1" outlineLevel="2" x14ac:dyDescent="0.25">
      <c r="A91" s="252" t="s">
        <v>55</v>
      </c>
      <c r="B91" s="248" t="s">
        <v>102</v>
      </c>
      <c r="C91" s="268">
        <f>ROUND('1.Статистика'!N64,3)</f>
        <v>0.03</v>
      </c>
      <c r="D91" s="277">
        <f>ROUND('1.Статистика'!O64,3)</f>
        <v>0.03</v>
      </c>
      <c r="E91" s="277">
        <f>ROUND('1.Статистика'!P64,3)</f>
        <v>0.04</v>
      </c>
      <c r="F91" s="278">
        <f>ROUND('1.Статистика'!Q64,3)</f>
        <v>3.5000000000000003E-2</v>
      </c>
      <c r="G91" s="270">
        <f>ROUND(SUM(C91:F91),3)</f>
        <v>0.13500000000000001</v>
      </c>
      <c r="H91" s="268">
        <f>ROUND(C90,3)</f>
        <v>0.03</v>
      </c>
      <c r="I91" s="268">
        <f>ROUND(D90,3)</f>
        <v>0.03</v>
      </c>
      <c r="J91" s="268">
        <f>ROUND(E90,3)</f>
        <v>0.04</v>
      </c>
      <c r="K91" s="269">
        <f>ROUND(F90,3)</f>
        <v>3.5000000000000003E-2</v>
      </c>
      <c r="L91" s="270">
        <f>ROUND(SUM(H91:K91),3)</f>
        <v>0.13500000000000001</v>
      </c>
      <c r="M91" s="268">
        <f>ROUND(H90,3)</f>
        <v>0.03</v>
      </c>
      <c r="N91" s="268">
        <f>ROUND(I90,3)</f>
        <v>0.03</v>
      </c>
      <c r="O91" s="268">
        <f>ROUND(J90,3)</f>
        <v>0.04</v>
      </c>
      <c r="P91" s="269">
        <f>ROUND(K90,3)</f>
        <v>3.5000000000000003E-2</v>
      </c>
      <c r="Q91" s="270">
        <f>ROUND(SUM(M91:P91),3)</f>
        <v>0.13500000000000001</v>
      </c>
    </row>
    <row r="92" spans="1:17" s="15" customFormat="1" outlineLevel="2" x14ac:dyDescent="0.25">
      <c r="A92" s="252" t="s">
        <v>56</v>
      </c>
      <c r="B92" s="248" t="s">
        <v>102</v>
      </c>
      <c r="C92" s="273">
        <v>0</v>
      </c>
      <c r="D92" s="279">
        <v>0</v>
      </c>
      <c r="E92" s="279">
        <v>0</v>
      </c>
      <c r="F92" s="280">
        <v>0</v>
      </c>
      <c r="G92" s="270">
        <f>ROUND(SUM(C92:F92),3)</f>
        <v>0</v>
      </c>
      <c r="H92" s="273">
        <v>0</v>
      </c>
      <c r="I92" s="279">
        <v>0</v>
      </c>
      <c r="J92" s="279">
        <v>0</v>
      </c>
      <c r="K92" s="280">
        <v>0</v>
      </c>
      <c r="L92" s="270">
        <f>ROUND(SUM(H92:K92),3)</f>
        <v>0</v>
      </c>
      <c r="M92" s="273">
        <v>0</v>
      </c>
      <c r="N92" s="279">
        <v>0</v>
      </c>
      <c r="O92" s="279">
        <v>0</v>
      </c>
      <c r="P92" s="280">
        <v>0</v>
      </c>
      <c r="Q92" s="270">
        <f>ROUND(SUM(M92:P92),3)</f>
        <v>0</v>
      </c>
    </row>
    <row r="93" spans="1:17" outlineLevel="1" x14ac:dyDescent="0.25">
      <c r="A93" s="249" t="s">
        <v>90</v>
      </c>
      <c r="B93" s="247" t="s">
        <v>102</v>
      </c>
      <c r="C93" s="266">
        <f t="shared" ref="C93:Q93" si="31">ROUND(C94+C95,3)</f>
        <v>0.01</v>
      </c>
      <c r="D93" s="275">
        <f t="shared" si="31"/>
        <v>0.01</v>
      </c>
      <c r="E93" s="275">
        <f t="shared" si="31"/>
        <v>0.01</v>
      </c>
      <c r="F93" s="276">
        <f t="shared" si="31"/>
        <v>0.01</v>
      </c>
      <c r="G93" s="389">
        <f t="shared" si="31"/>
        <v>0.04</v>
      </c>
      <c r="H93" s="266">
        <f t="shared" si="31"/>
        <v>0.01</v>
      </c>
      <c r="I93" s="275">
        <f t="shared" si="31"/>
        <v>0.01</v>
      </c>
      <c r="J93" s="275">
        <f t="shared" si="31"/>
        <v>0.01</v>
      </c>
      <c r="K93" s="276">
        <f t="shared" si="31"/>
        <v>0.01</v>
      </c>
      <c r="L93" s="389">
        <f t="shared" si="31"/>
        <v>0.04</v>
      </c>
      <c r="M93" s="266">
        <f t="shared" si="31"/>
        <v>0.01</v>
      </c>
      <c r="N93" s="275">
        <f t="shared" si="31"/>
        <v>0.01</v>
      </c>
      <c r="O93" s="275">
        <f t="shared" si="31"/>
        <v>0.01</v>
      </c>
      <c r="P93" s="276">
        <f t="shared" si="31"/>
        <v>0.01</v>
      </c>
      <c r="Q93" s="389">
        <f t="shared" si="31"/>
        <v>0.04</v>
      </c>
    </row>
    <row r="94" spans="1:17" s="15" customFormat="1" outlineLevel="2" x14ac:dyDescent="0.25">
      <c r="A94" s="252" t="s">
        <v>55</v>
      </c>
      <c r="B94" s="248" t="s">
        <v>102</v>
      </c>
      <c r="C94" s="268">
        <f>ROUND('1.Статистика'!N65,3)</f>
        <v>0.01</v>
      </c>
      <c r="D94" s="277">
        <f>ROUND('1.Статистика'!O65,3)</f>
        <v>0.01</v>
      </c>
      <c r="E94" s="277">
        <f>ROUND('1.Статистика'!P65,3)</f>
        <v>0.01</v>
      </c>
      <c r="F94" s="278">
        <f>ROUND('1.Статистика'!Q65,3)</f>
        <v>0.01</v>
      </c>
      <c r="G94" s="270">
        <f>ROUND(SUM(C94:F94),3)</f>
        <v>0.04</v>
      </c>
      <c r="H94" s="268">
        <f>ROUND(C93,3)</f>
        <v>0.01</v>
      </c>
      <c r="I94" s="268">
        <f>ROUND(D93,3)</f>
        <v>0.01</v>
      </c>
      <c r="J94" s="268">
        <f>ROUND(E93,3)</f>
        <v>0.01</v>
      </c>
      <c r="K94" s="269">
        <f>ROUND(F93,3)</f>
        <v>0.01</v>
      </c>
      <c r="L94" s="270">
        <f>ROUND(SUM(H94:K94),3)</f>
        <v>0.04</v>
      </c>
      <c r="M94" s="268">
        <f>ROUND(H93,3)</f>
        <v>0.01</v>
      </c>
      <c r="N94" s="268">
        <f>ROUND(I93,3)</f>
        <v>0.01</v>
      </c>
      <c r="O94" s="268">
        <f>ROUND(J93,3)</f>
        <v>0.01</v>
      </c>
      <c r="P94" s="269">
        <f>ROUND(K93,3)</f>
        <v>0.01</v>
      </c>
      <c r="Q94" s="270">
        <f>ROUND(SUM(M94:P94),3)</f>
        <v>0.04</v>
      </c>
    </row>
    <row r="95" spans="1:17" s="15" customFormat="1" outlineLevel="2" x14ac:dyDescent="0.25">
      <c r="A95" s="252" t="s">
        <v>56</v>
      </c>
      <c r="B95" s="248" t="s">
        <v>102</v>
      </c>
      <c r="C95" s="273">
        <v>0</v>
      </c>
      <c r="D95" s="279">
        <v>0</v>
      </c>
      <c r="E95" s="279">
        <v>0</v>
      </c>
      <c r="F95" s="280">
        <v>0</v>
      </c>
      <c r="G95" s="270">
        <f>ROUND(SUM(C95:F95),3)</f>
        <v>0</v>
      </c>
      <c r="H95" s="273">
        <v>0</v>
      </c>
      <c r="I95" s="279">
        <v>0</v>
      </c>
      <c r="J95" s="279">
        <v>0</v>
      </c>
      <c r="K95" s="280">
        <v>0</v>
      </c>
      <c r="L95" s="270">
        <f>ROUND(SUM(H95:K95),3)</f>
        <v>0</v>
      </c>
      <c r="M95" s="273">
        <v>0</v>
      </c>
      <c r="N95" s="279">
        <v>0</v>
      </c>
      <c r="O95" s="279">
        <v>0</v>
      </c>
      <c r="P95" s="280">
        <v>0</v>
      </c>
      <c r="Q95" s="270">
        <f>ROUND(SUM(M95:P95),3)</f>
        <v>0</v>
      </c>
    </row>
    <row r="96" spans="1:17" s="16" customFormat="1" x14ac:dyDescent="0.25">
      <c r="A96" s="397" t="s">
        <v>57</v>
      </c>
      <c r="B96" s="401" t="s">
        <v>102</v>
      </c>
      <c r="C96" s="384">
        <f t="shared" ref="C96:Q96" si="32">ROUND(C97+C100+C103,3)</f>
        <v>1.7010000000000001</v>
      </c>
      <c r="D96" s="384">
        <f t="shared" si="32"/>
        <v>1.78</v>
      </c>
      <c r="E96" s="384">
        <f t="shared" si="32"/>
        <v>1.681</v>
      </c>
      <c r="F96" s="385">
        <f t="shared" si="32"/>
        <v>1.69</v>
      </c>
      <c r="G96" s="265">
        <f t="shared" si="32"/>
        <v>6.8520000000000003</v>
      </c>
      <c r="H96" s="384">
        <f t="shared" si="32"/>
        <v>1.6950000000000001</v>
      </c>
      <c r="I96" s="384">
        <f t="shared" si="32"/>
        <v>1.7729999999999999</v>
      </c>
      <c r="J96" s="384">
        <f t="shared" si="32"/>
        <v>1.675</v>
      </c>
      <c r="K96" s="385">
        <f t="shared" si="32"/>
        <v>1.6839999999999999</v>
      </c>
      <c r="L96" s="265">
        <f t="shared" si="32"/>
        <v>6.827</v>
      </c>
      <c r="M96" s="384">
        <f t="shared" si="32"/>
        <v>1.6879999999999999</v>
      </c>
      <c r="N96" s="384">
        <f t="shared" si="32"/>
        <v>1.766</v>
      </c>
      <c r="O96" s="384">
        <f t="shared" si="32"/>
        <v>1.6679999999999999</v>
      </c>
      <c r="P96" s="385">
        <f t="shared" si="32"/>
        <v>1.6779999999999999</v>
      </c>
      <c r="Q96" s="265">
        <f t="shared" si="32"/>
        <v>6.8</v>
      </c>
    </row>
    <row r="97" spans="1:18" outlineLevel="1" x14ac:dyDescent="0.25">
      <c r="A97" s="249" t="s">
        <v>94</v>
      </c>
      <c r="B97" s="247" t="s">
        <v>102</v>
      </c>
      <c r="C97" s="266">
        <f>ROUND('1.Статистика'!D114*$G$97,3)</f>
        <v>1.171</v>
      </c>
      <c r="D97" s="266">
        <f>ROUND(G97-(C97+E97+F97),3)</f>
        <v>1.171</v>
      </c>
      <c r="E97" s="266">
        <f>ROUND('1.Статистика'!F114*$G$97,3)</f>
        <v>1.157</v>
      </c>
      <c r="F97" s="267">
        <f>ROUND('1.Статистика'!G114*$G$97,3)</f>
        <v>1.1659999999999999</v>
      </c>
      <c r="G97" s="389">
        <f>ROUND((G98*G99)/1000,3)</f>
        <v>4.665</v>
      </c>
      <c r="H97" s="266">
        <f>ROUND('1.Статистика'!D114*$L$97,3)</f>
        <v>1.167</v>
      </c>
      <c r="I97" s="266">
        <f>ROUND(L97-(H97+J97+K97),3)</f>
        <v>1.1659999999999999</v>
      </c>
      <c r="J97" s="266">
        <f>ROUND('1.Статистика'!F114*$L$97,3)</f>
        <v>1.153</v>
      </c>
      <c r="K97" s="266">
        <f>ROUND('1.Статистика'!G114*$L$97,3)</f>
        <v>1.1619999999999999</v>
      </c>
      <c r="L97" s="389">
        <f>ROUND((L98*L99)/1000,3)</f>
        <v>4.6479999999999997</v>
      </c>
      <c r="M97" s="266">
        <f>ROUND('1.Статистика'!D114*$Q$97,3)</f>
        <v>1.1619999999999999</v>
      </c>
      <c r="N97" s="266">
        <f>ROUND(Q97-(M97+O97+P97),3)</f>
        <v>1.1619999999999999</v>
      </c>
      <c r="O97" s="266">
        <f>ROUND('1.Статистика'!F114*$Q$97,3)</f>
        <v>1.1479999999999999</v>
      </c>
      <c r="P97" s="266">
        <f>ROUND('1.Статистика'!G114*$Q$97,3)</f>
        <v>1.1579999999999999</v>
      </c>
      <c r="Q97" s="389">
        <f>ROUND((Q98*Q99)/1000,3)</f>
        <v>4.63</v>
      </c>
    </row>
    <row r="98" spans="1:18" s="15" customFormat="1" outlineLevel="2" x14ac:dyDescent="0.25">
      <c r="A98" s="252" t="s">
        <v>100</v>
      </c>
      <c r="B98" s="520" t="s">
        <v>133</v>
      </c>
      <c r="C98" s="392"/>
      <c r="D98" s="283"/>
      <c r="E98" s="283"/>
      <c r="F98" s="285"/>
      <c r="G98" s="270">
        <f>ROUND('1.Статистика'!C104,3)</f>
        <v>4.6029999999999998</v>
      </c>
      <c r="H98" s="283"/>
      <c r="I98" s="283"/>
      <c r="J98" s="283"/>
      <c r="K98" s="285"/>
      <c r="L98" s="270">
        <f>ROUND('1.Статистика'!D104,3)</f>
        <v>4.6029999999999998</v>
      </c>
      <c r="M98" s="283"/>
      <c r="N98" s="283"/>
      <c r="O98" s="283"/>
      <c r="P98" s="285"/>
      <c r="Q98" s="287">
        <f>ROUND('1.Статистика'!E104,3)</f>
        <v>4.6029999999999998</v>
      </c>
    </row>
    <row r="99" spans="1:18" s="15" customFormat="1" outlineLevel="2" x14ac:dyDescent="0.25">
      <c r="A99" s="252" t="s">
        <v>130</v>
      </c>
      <c r="B99" s="248" t="s">
        <v>105</v>
      </c>
      <c r="C99" s="283"/>
      <c r="D99" s="283"/>
      <c r="E99" s="283"/>
      <c r="F99" s="285"/>
      <c r="G99" s="270">
        <f>ROUND('1.Статистика'!F99,3)</f>
        <v>1013.45</v>
      </c>
      <c r="H99" s="283"/>
      <c r="I99" s="283"/>
      <c r="J99" s="283"/>
      <c r="K99" s="285"/>
      <c r="L99" s="270">
        <f>ROUND('1.Статистика'!G99,3)</f>
        <v>1009.822</v>
      </c>
      <c r="M99" s="283"/>
      <c r="N99" s="283"/>
      <c r="O99" s="283"/>
      <c r="P99" s="285"/>
      <c r="Q99" s="287">
        <f>ROUND('1.Статистика'!H99,3)</f>
        <v>1005.899</v>
      </c>
    </row>
    <row r="100" spans="1:18" outlineLevel="1" x14ac:dyDescent="0.25">
      <c r="A100" s="249" t="s">
        <v>89</v>
      </c>
      <c r="B100" s="247" t="s">
        <v>102</v>
      </c>
      <c r="C100" s="266">
        <f>ROUND('1.Статистика'!D115*$G$100,3)</f>
        <v>0.53</v>
      </c>
      <c r="D100" s="266">
        <f>ROUND(G100-(C100+E100+F100),3)</f>
        <v>0.52500000000000002</v>
      </c>
      <c r="E100" s="266">
        <f>ROUND('1.Статистика'!F115*$G$100,3)</f>
        <v>0.52400000000000002</v>
      </c>
      <c r="F100" s="267">
        <f>ROUND('1.Статистика'!G115*$G$100,3)</f>
        <v>0.52400000000000002</v>
      </c>
      <c r="G100" s="389">
        <f>ROUND((G101*G102)/1000,3)</f>
        <v>2.1030000000000002</v>
      </c>
      <c r="H100" s="266">
        <f>ROUND('1.Статистика'!D115*$L$100,3)</f>
        <v>0.52800000000000002</v>
      </c>
      <c r="I100" s="266">
        <f>ROUND(L100-(H100+J100+K100),3)</f>
        <v>0.52300000000000002</v>
      </c>
      <c r="J100" s="266">
        <f>ROUND('1.Статистика'!F115*$L$100,3)</f>
        <v>0.52200000000000002</v>
      </c>
      <c r="K100" s="266">
        <f>ROUND('1.Статистика'!G115*$L$100,3)</f>
        <v>0.52200000000000002</v>
      </c>
      <c r="L100" s="389">
        <f>ROUND((L101*L102)/1000,3)</f>
        <v>2.0950000000000002</v>
      </c>
      <c r="M100" s="266">
        <f>ROUND('1.Статистика'!D115*$Q$100,3)</f>
        <v>0.52600000000000002</v>
      </c>
      <c r="N100" s="266">
        <f>ROUND(Q100-(M100+O100+P100),3)</f>
        <v>0.52100000000000002</v>
      </c>
      <c r="O100" s="266">
        <f>ROUND('1.Статистика'!F115*$Q$100,3)</f>
        <v>0.52</v>
      </c>
      <c r="P100" s="266">
        <f>ROUND('1.Статистика'!G115*$Q$100,3)</f>
        <v>0.52</v>
      </c>
      <c r="Q100" s="389">
        <f>ROUND((Q101*Q102)/1000,3)</f>
        <v>2.0870000000000002</v>
      </c>
    </row>
    <row r="101" spans="1:18" s="15" customFormat="1" outlineLevel="2" x14ac:dyDescent="0.25">
      <c r="A101" s="252" t="s">
        <v>100</v>
      </c>
      <c r="B101" s="520" t="s">
        <v>133</v>
      </c>
      <c r="C101" s="283"/>
      <c r="D101" s="283"/>
      <c r="E101" s="283"/>
      <c r="F101" s="285"/>
      <c r="G101" s="270">
        <f>ROUND('1.Статистика'!C105,3)</f>
        <v>2.0750000000000002</v>
      </c>
      <c r="H101" s="283"/>
      <c r="I101" s="283"/>
      <c r="J101" s="283"/>
      <c r="K101" s="285"/>
      <c r="L101" s="270">
        <f>ROUND('1.Статистика'!D105,3)</f>
        <v>2.0750000000000002</v>
      </c>
      <c r="M101" s="283"/>
      <c r="N101" s="283"/>
      <c r="O101" s="283"/>
      <c r="P101" s="285"/>
      <c r="Q101" s="287">
        <f>ROUND('1.Статистика'!E105,3)</f>
        <v>2.0750000000000002</v>
      </c>
    </row>
    <row r="102" spans="1:18" s="15" customFormat="1" outlineLevel="2" x14ac:dyDescent="0.25">
      <c r="A102" s="252" t="s">
        <v>130</v>
      </c>
      <c r="B102" s="248" t="s">
        <v>105</v>
      </c>
      <c r="C102" s="283"/>
      <c r="D102" s="283"/>
      <c r="E102" s="283"/>
      <c r="F102" s="285"/>
      <c r="G102" s="270">
        <f>ROUND('1.Статистика'!F99,3)</f>
        <v>1013.45</v>
      </c>
      <c r="H102" s="283"/>
      <c r="I102" s="283"/>
      <c r="J102" s="283"/>
      <c r="K102" s="285"/>
      <c r="L102" s="270">
        <f>ROUND('1.Статистика'!G99,3)</f>
        <v>1009.822</v>
      </c>
      <c r="M102" s="283"/>
      <c r="N102" s="283"/>
      <c r="O102" s="283"/>
      <c r="P102" s="285"/>
      <c r="Q102" s="287">
        <f>ROUND('1.Статистика'!H99,3)</f>
        <v>1005.899</v>
      </c>
    </row>
    <row r="103" spans="1:18" outlineLevel="1" x14ac:dyDescent="0.25">
      <c r="A103" s="249" t="s">
        <v>90</v>
      </c>
      <c r="B103" s="247" t="s">
        <v>102</v>
      </c>
      <c r="C103" s="266">
        <f>ROUND('1.Статистика'!D116*$G$103,3)</f>
        <v>0</v>
      </c>
      <c r="D103" s="266">
        <f>ROUND(G103-(C103+E103+F103),3)</f>
        <v>8.4000000000000005E-2</v>
      </c>
      <c r="E103" s="266">
        <f>ROUND('1.Статистика'!F116*$G$103,3)</f>
        <v>0</v>
      </c>
      <c r="F103" s="267">
        <f>ROUND('1.Статистика'!G116*$G$103,3)</f>
        <v>0</v>
      </c>
      <c r="G103" s="389">
        <f>ROUND((G104*G105)/1000,3)</f>
        <v>8.4000000000000005E-2</v>
      </c>
      <c r="H103" s="266">
        <f>ROUND('1.Статистика'!D116*$L$103,3)</f>
        <v>0</v>
      </c>
      <c r="I103" s="266">
        <f>ROUND(L103-(H103+J103+K103),3)</f>
        <v>8.4000000000000005E-2</v>
      </c>
      <c r="J103" s="266">
        <f>ROUND('1.Статистика'!F116*$L$103,3)</f>
        <v>0</v>
      </c>
      <c r="K103" s="266">
        <f>ROUND('1.Статистика'!G116*$L$103,3)</f>
        <v>0</v>
      </c>
      <c r="L103" s="391">
        <f>ROUND((L104*L105)/1000,3)</f>
        <v>8.4000000000000005E-2</v>
      </c>
      <c r="M103" s="266">
        <f>ROUND('1.Статистика'!D116*$Q$103,3)</f>
        <v>0</v>
      </c>
      <c r="N103" s="266">
        <f>ROUND(Q103-(M103+O103+P103),3)</f>
        <v>8.3000000000000004E-2</v>
      </c>
      <c r="O103" s="266">
        <f>ROUND('1.Статистика'!F116*$Q$103,3)</f>
        <v>0</v>
      </c>
      <c r="P103" s="266">
        <f>ROUND('1.Статистика'!G116*$Q$103,3)</f>
        <v>0</v>
      </c>
      <c r="Q103" s="391">
        <f>ROUND((Q104*Q105)/1000,3)</f>
        <v>8.3000000000000004E-2</v>
      </c>
    </row>
    <row r="104" spans="1:18" s="15" customFormat="1" outlineLevel="2" x14ac:dyDescent="0.25">
      <c r="A104" s="252" t="s">
        <v>100</v>
      </c>
      <c r="B104" s="520" t="s">
        <v>133</v>
      </c>
      <c r="C104" s="283"/>
      <c r="D104" s="283"/>
      <c r="E104" s="283"/>
      <c r="F104" s="285"/>
      <c r="G104" s="270">
        <f>ROUND('1.Статистика'!C106,3)</f>
        <v>8.3000000000000004E-2</v>
      </c>
      <c r="H104" s="283"/>
      <c r="I104" s="283"/>
      <c r="J104" s="283"/>
      <c r="K104" s="285"/>
      <c r="L104" s="270">
        <f>ROUND('1.Статистика'!D106,3)</f>
        <v>8.3000000000000004E-2</v>
      </c>
      <c r="M104" s="283"/>
      <c r="N104" s="283"/>
      <c r="O104" s="283"/>
      <c r="P104" s="285"/>
      <c r="Q104" s="287">
        <f>ROUND('1.Статистика'!E106,3)</f>
        <v>8.3000000000000004E-2</v>
      </c>
    </row>
    <row r="105" spans="1:18" s="15" customFormat="1" outlineLevel="2" x14ac:dyDescent="0.25">
      <c r="A105" s="252" t="s">
        <v>130</v>
      </c>
      <c r="B105" s="248" t="s">
        <v>105</v>
      </c>
      <c r="C105" s="283"/>
      <c r="D105" s="283"/>
      <c r="E105" s="283"/>
      <c r="F105" s="285"/>
      <c r="G105" s="270">
        <f>ROUND('1.Статистика'!F99,3)</f>
        <v>1013.45</v>
      </c>
      <c r="H105" s="283"/>
      <c r="I105" s="283"/>
      <c r="J105" s="283"/>
      <c r="K105" s="285"/>
      <c r="L105" s="270">
        <f>ROUND('1.Статистика'!G99,3)</f>
        <v>1009.822</v>
      </c>
      <c r="M105" s="283"/>
      <c r="N105" s="283"/>
      <c r="O105" s="283"/>
      <c r="P105" s="285"/>
      <c r="Q105" s="287">
        <f>ROUND('1.Статистика'!H99,3)</f>
        <v>1005.899</v>
      </c>
    </row>
    <row r="106" spans="1:18" s="3" customFormat="1" ht="15" customHeight="1" x14ac:dyDescent="0.25">
      <c r="A106" s="399" t="s">
        <v>48</v>
      </c>
      <c r="B106" s="402" t="s">
        <v>102</v>
      </c>
      <c r="C106" s="386">
        <f t="shared" ref="C106:Q106" si="33">ROUND(C43+C79+C86+C96,3)</f>
        <v>31.521999999999998</v>
      </c>
      <c r="D106" s="386">
        <f t="shared" si="33"/>
        <v>31.571000000000002</v>
      </c>
      <c r="E106" s="386">
        <f t="shared" si="33"/>
        <v>31.521000000000001</v>
      </c>
      <c r="F106" s="386">
        <f t="shared" si="33"/>
        <v>31.46</v>
      </c>
      <c r="G106" s="281">
        <f t="shared" si="33"/>
        <v>126.074</v>
      </c>
      <c r="H106" s="386">
        <f t="shared" si="33"/>
        <v>31.515999999999998</v>
      </c>
      <c r="I106" s="386">
        <f t="shared" si="33"/>
        <v>31.564</v>
      </c>
      <c r="J106" s="386">
        <f t="shared" si="33"/>
        <v>31.515000000000001</v>
      </c>
      <c r="K106" s="386">
        <f t="shared" si="33"/>
        <v>31.454000000000001</v>
      </c>
      <c r="L106" s="281">
        <f t="shared" si="33"/>
        <v>126.04900000000001</v>
      </c>
      <c r="M106" s="386">
        <f t="shared" si="33"/>
        <v>31.509</v>
      </c>
      <c r="N106" s="386">
        <f t="shared" si="33"/>
        <v>31.556999999999999</v>
      </c>
      <c r="O106" s="386">
        <f t="shared" si="33"/>
        <v>31.507999999999999</v>
      </c>
      <c r="P106" s="386">
        <f t="shared" si="33"/>
        <v>31.448</v>
      </c>
      <c r="Q106" s="281">
        <f t="shared" si="33"/>
        <v>126.02200000000001</v>
      </c>
    </row>
    <row r="107" spans="1:18" ht="15" customHeight="1" outlineLevel="1" x14ac:dyDescent="0.25">
      <c r="A107" s="255" t="s">
        <v>114</v>
      </c>
      <c r="B107" s="247" t="s">
        <v>102</v>
      </c>
      <c r="C107" s="266">
        <f t="shared" ref="C107:Q107" si="34">ROUND(C44+C80+C87+C97,3)</f>
        <v>25.771000000000001</v>
      </c>
      <c r="D107" s="266">
        <f t="shared" si="34"/>
        <v>25.771000000000001</v>
      </c>
      <c r="E107" s="266">
        <f t="shared" si="34"/>
        <v>25.757000000000001</v>
      </c>
      <c r="F107" s="266">
        <f t="shared" si="34"/>
        <v>25.745999999999999</v>
      </c>
      <c r="G107" s="389">
        <f t="shared" si="34"/>
        <v>103.045</v>
      </c>
      <c r="H107" s="266">
        <f t="shared" si="34"/>
        <v>25.766999999999999</v>
      </c>
      <c r="I107" s="266">
        <f t="shared" si="34"/>
        <v>25.765999999999998</v>
      </c>
      <c r="J107" s="266">
        <f t="shared" si="34"/>
        <v>25.753</v>
      </c>
      <c r="K107" s="266">
        <f t="shared" si="34"/>
        <v>25.742000000000001</v>
      </c>
      <c r="L107" s="389">
        <f t="shared" si="34"/>
        <v>103.02800000000001</v>
      </c>
      <c r="M107" s="266">
        <f t="shared" si="34"/>
        <v>25.762</v>
      </c>
      <c r="N107" s="266">
        <f t="shared" si="34"/>
        <v>25.762</v>
      </c>
      <c r="O107" s="266">
        <f t="shared" si="34"/>
        <v>25.748000000000001</v>
      </c>
      <c r="P107" s="266">
        <f t="shared" si="34"/>
        <v>25.738</v>
      </c>
      <c r="Q107" s="389">
        <f t="shared" si="34"/>
        <v>103.01</v>
      </c>
    </row>
    <row r="108" spans="1:18" ht="15" customHeight="1" outlineLevel="1" x14ac:dyDescent="0.25">
      <c r="A108" s="255" t="s">
        <v>89</v>
      </c>
      <c r="B108" s="247" t="s">
        <v>102</v>
      </c>
      <c r="C108" s="266">
        <f t="shared" ref="C108:Q108" si="35">ROUND(C45+C82+C90+C100,3)</f>
        <v>5.1909999999999998</v>
      </c>
      <c r="D108" s="266">
        <f t="shared" si="35"/>
        <v>5.1559999999999997</v>
      </c>
      <c r="E108" s="266">
        <f t="shared" si="35"/>
        <v>5.2039999999999997</v>
      </c>
      <c r="F108" s="266">
        <f t="shared" si="35"/>
        <v>5.1539999999999999</v>
      </c>
      <c r="G108" s="389">
        <f t="shared" si="35"/>
        <v>20.704999999999998</v>
      </c>
      <c r="H108" s="266">
        <f t="shared" si="35"/>
        <v>5.1890000000000001</v>
      </c>
      <c r="I108" s="266">
        <f t="shared" si="35"/>
        <v>5.1539999999999999</v>
      </c>
      <c r="J108" s="266">
        <f t="shared" si="35"/>
        <v>5.202</v>
      </c>
      <c r="K108" s="266">
        <f t="shared" si="35"/>
        <v>5.1520000000000001</v>
      </c>
      <c r="L108" s="389">
        <f t="shared" si="35"/>
        <v>20.696999999999999</v>
      </c>
      <c r="M108" s="266">
        <f t="shared" si="35"/>
        <v>5.1870000000000003</v>
      </c>
      <c r="N108" s="266">
        <f t="shared" si="35"/>
        <v>5.1520000000000001</v>
      </c>
      <c r="O108" s="266">
        <f t="shared" si="35"/>
        <v>5.2</v>
      </c>
      <c r="P108" s="266">
        <f t="shared" si="35"/>
        <v>5.15</v>
      </c>
      <c r="Q108" s="389">
        <f t="shared" si="35"/>
        <v>20.689</v>
      </c>
    </row>
    <row r="109" spans="1:18" ht="15" customHeight="1" outlineLevel="1" x14ac:dyDescent="0.25">
      <c r="A109" s="255" t="s">
        <v>90</v>
      </c>
      <c r="B109" s="247" t="s">
        <v>102</v>
      </c>
      <c r="C109" s="266">
        <f t="shared" ref="C109:Q109" si="36">ROUND(C46+C84+C93+C103,3)</f>
        <v>0.56000000000000005</v>
      </c>
      <c r="D109" s="266">
        <f t="shared" si="36"/>
        <v>0.64400000000000002</v>
      </c>
      <c r="E109" s="266">
        <f t="shared" si="36"/>
        <v>0.56000000000000005</v>
      </c>
      <c r="F109" s="266">
        <f t="shared" si="36"/>
        <v>0.56000000000000005</v>
      </c>
      <c r="G109" s="389">
        <f t="shared" si="36"/>
        <v>2.3239999999999998</v>
      </c>
      <c r="H109" s="266">
        <f t="shared" si="36"/>
        <v>0.56000000000000005</v>
      </c>
      <c r="I109" s="266">
        <f t="shared" si="36"/>
        <v>0.64400000000000002</v>
      </c>
      <c r="J109" s="266">
        <f t="shared" si="36"/>
        <v>0.56000000000000005</v>
      </c>
      <c r="K109" s="266">
        <f t="shared" si="36"/>
        <v>0.56000000000000005</v>
      </c>
      <c r="L109" s="389">
        <f t="shared" si="36"/>
        <v>2.3239999999999998</v>
      </c>
      <c r="M109" s="266">
        <f t="shared" si="36"/>
        <v>0.56000000000000005</v>
      </c>
      <c r="N109" s="266">
        <f t="shared" si="36"/>
        <v>0.64300000000000002</v>
      </c>
      <c r="O109" s="266">
        <f t="shared" si="36"/>
        <v>0.56000000000000005</v>
      </c>
      <c r="P109" s="266">
        <f t="shared" si="36"/>
        <v>0.56000000000000005</v>
      </c>
      <c r="Q109" s="389">
        <f t="shared" si="36"/>
        <v>2.323</v>
      </c>
    </row>
    <row r="110" spans="1:18" x14ac:dyDescent="0.25">
      <c r="A110" s="399" t="s">
        <v>58</v>
      </c>
      <c r="B110" s="402" t="s">
        <v>102</v>
      </c>
      <c r="C110" s="386">
        <f t="shared" ref="C110:Q110" si="37">ROUND(C111+C112+C113,3)</f>
        <v>4.7489999999999997</v>
      </c>
      <c r="D110" s="386">
        <f t="shared" si="37"/>
        <v>4.5110000000000001</v>
      </c>
      <c r="E110" s="386">
        <f t="shared" si="37"/>
        <v>4.4669999999999996</v>
      </c>
      <c r="F110" s="387">
        <f t="shared" si="37"/>
        <v>4.5339999999999998</v>
      </c>
      <c r="G110" s="281">
        <f t="shared" si="37"/>
        <v>4.5339999999999998</v>
      </c>
      <c r="H110" s="386">
        <f t="shared" si="37"/>
        <v>4.6900000000000004</v>
      </c>
      <c r="I110" s="386">
        <f t="shared" si="37"/>
        <v>4.4589999999999996</v>
      </c>
      <c r="J110" s="386">
        <f t="shared" si="37"/>
        <v>4.4210000000000003</v>
      </c>
      <c r="K110" s="387">
        <f t="shared" si="37"/>
        <v>4.4939999999999998</v>
      </c>
      <c r="L110" s="281">
        <f t="shared" si="37"/>
        <v>4.4939999999999998</v>
      </c>
      <c r="M110" s="386">
        <f t="shared" si="37"/>
        <v>4.657</v>
      </c>
      <c r="N110" s="386">
        <f t="shared" si="37"/>
        <v>4.4329999999999998</v>
      </c>
      <c r="O110" s="386">
        <f t="shared" si="37"/>
        <v>4.4020000000000001</v>
      </c>
      <c r="P110" s="387">
        <f t="shared" si="37"/>
        <v>4.4809999999999999</v>
      </c>
      <c r="Q110" s="281">
        <f t="shared" si="37"/>
        <v>4.4809999999999999</v>
      </c>
    </row>
    <row r="111" spans="1:18" ht="15" customHeight="1" outlineLevel="1" x14ac:dyDescent="0.25">
      <c r="A111" s="255" t="s">
        <v>114</v>
      </c>
      <c r="B111" s="247" t="s">
        <v>102</v>
      </c>
      <c r="C111" s="266">
        <f t="shared" ref="C111:Q111" si="38">ROUND(C40-C107,3)</f>
        <v>4.008</v>
      </c>
      <c r="D111" s="275">
        <f t="shared" si="38"/>
        <v>3.9020000000000001</v>
      </c>
      <c r="E111" s="275">
        <f t="shared" si="38"/>
        <v>3.855</v>
      </c>
      <c r="F111" s="276">
        <f t="shared" si="38"/>
        <v>3.819</v>
      </c>
      <c r="G111" s="389">
        <f t="shared" si="38"/>
        <v>3.819</v>
      </c>
      <c r="H111" s="266">
        <f t="shared" si="38"/>
        <v>4.0119999999999996</v>
      </c>
      <c r="I111" s="275">
        <f t="shared" si="38"/>
        <v>3.911</v>
      </c>
      <c r="J111" s="275">
        <f t="shared" si="38"/>
        <v>3.8679999999999999</v>
      </c>
      <c r="K111" s="276">
        <f t="shared" si="38"/>
        <v>3.8359999999999999</v>
      </c>
      <c r="L111" s="389">
        <f t="shared" si="38"/>
        <v>3.8359999999999999</v>
      </c>
      <c r="M111" s="266">
        <f t="shared" si="38"/>
        <v>4.0339999999999998</v>
      </c>
      <c r="N111" s="275">
        <f t="shared" si="38"/>
        <v>3.9369999999999998</v>
      </c>
      <c r="O111" s="275">
        <f t="shared" si="38"/>
        <v>3.899</v>
      </c>
      <c r="P111" s="276">
        <f t="shared" si="38"/>
        <v>3.871</v>
      </c>
      <c r="Q111" s="389">
        <f t="shared" si="38"/>
        <v>3.871</v>
      </c>
      <c r="R111" s="2"/>
    </row>
    <row r="112" spans="1:18" ht="15" customHeight="1" outlineLevel="1" x14ac:dyDescent="0.25">
      <c r="A112" s="255" t="s">
        <v>89</v>
      </c>
      <c r="B112" s="247" t="s">
        <v>102</v>
      </c>
      <c r="C112" s="266">
        <f t="shared" ref="C112:Q112" si="39">ROUND(C41-C108,3)</f>
        <v>0.44</v>
      </c>
      <c r="D112" s="275">
        <f t="shared" si="39"/>
        <v>0.44500000000000001</v>
      </c>
      <c r="E112" s="275">
        <f t="shared" si="39"/>
        <v>0.45100000000000001</v>
      </c>
      <c r="F112" s="276">
        <f t="shared" si="39"/>
        <v>0.45700000000000002</v>
      </c>
      <c r="G112" s="389">
        <f t="shared" si="39"/>
        <v>0.45700000000000002</v>
      </c>
      <c r="H112" s="266">
        <f t="shared" si="39"/>
        <v>0.42299999999999999</v>
      </c>
      <c r="I112" s="275">
        <f t="shared" si="39"/>
        <v>0.43</v>
      </c>
      <c r="J112" s="275">
        <f t="shared" si="39"/>
        <v>0.438</v>
      </c>
      <c r="K112" s="276">
        <f t="shared" si="39"/>
        <v>0.44600000000000001</v>
      </c>
      <c r="L112" s="389">
        <f t="shared" si="39"/>
        <v>0.44600000000000001</v>
      </c>
      <c r="M112" s="266">
        <f t="shared" si="39"/>
        <v>0.41399999999999998</v>
      </c>
      <c r="N112" s="275">
        <f t="shared" si="39"/>
        <v>0.42299999999999999</v>
      </c>
      <c r="O112" s="275">
        <f t="shared" si="39"/>
        <v>0.433</v>
      </c>
      <c r="P112" s="276">
        <f t="shared" si="39"/>
        <v>0.443</v>
      </c>
      <c r="Q112" s="389">
        <f t="shared" si="39"/>
        <v>0.443</v>
      </c>
      <c r="R112" s="2"/>
    </row>
    <row r="113" spans="1:18" ht="15" customHeight="1" outlineLevel="1" thickBot="1" x14ac:dyDescent="0.3">
      <c r="A113" s="256" t="s">
        <v>90</v>
      </c>
      <c r="B113" s="20" t="s">
        <v>102</v>
      </c>
      <c r="C113" s="288">
        <f t="shared" ref="C113:Q113" si="40">ROUND(C42-C109,3)</f>
        <v>0.30099999999999999</v>
      </c>
      <c r="D113" s="289">
        <f t="shared" si="40"/>
        <v>0.16400000000000001</v>
      </c>
      <c r="E113" s="289">
        <f t="shared" si="40"/>
        <v>0.161</v>
      </c>
      <c r="F113" s="290">
        <f t="shared" si="40"/>
        <v>0.25800000000000001</v>
      </c>
      <c r="G113" s="390">
        <f t="shared" si="40"/>
        <v>0.25800000000000001</v>
      </c>
      <c r="H113" s="288">
        <f t="shared" si="40"/>
        <v>0.255</v>
      </c>
      <c r="I113" s="289">
        <f t="shared" si="40"/>
        <v>0.11799999999999999</v>
      </c>
      <c r="J113" s="289">
        <f t="shared" si="40"/>
        <v>0.115</v>
      </c>
      <c r="K113" s="290">
        <f t="shared" si="40"/>
        <v>0.21199999999999999</v>
      </c>
      <c r="L113" s="390">
        <f t="shared" si="40"/>
        <v>0.21199999999999999</v>
      </c>
      <c r="M113" s="288">
        <f t="shared" si="40"/>
        <v>0.20899999999999999</v>
      </c>
      <c r="N113" s="289">
        <f t="shared" si="40"/>
        <v>7.2999999999999995E-2</v>
      </c>
      <c r="O113" s="289">
        <f t="shared" si="40"/>
        <v>7.0000000000000007E-2</v>
      </c>
      <c r="P113" s="290">
        <f t="shared" si="40"/>
        <v>0.16700000000000001</v>
      </c>
      <c r="Q113" s="390">
        <f t="shared" si="40"/>
        <v>0.16700000000000001</v>
      </c>
      <c r="R113" s="2"/>
    </row>
    <row r="114" spans="1:18" collapsed="1" x14ac:dyDescent="0.25"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</row>
    <row r="115" spans="1:18" x14ac:dyDescent="0.25">
      <c r="A115" s="64" t="s">
        <v>86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</row>
    <row r="116" spans="1:18" ht="15" customHeight="1" x14ac:dyDescent="0.25">
      <c r="A116" s="42" t="s">
        <v>114</v>
      </c>
      <c r="C116" s="394">
        <f t="shared" ref="C116:Q116" si="41">ROUND(C40-C107-C111,3)</f>
        <v>0</v>
      </c>
      <c r="D116" s="394">
        <f t="shared" si="41"/>
        <v>0</v>
      </c>
      <c r="E116" s="394">
        <f t="shared" si="41"/>
        <v>0</v>
      </c>
      <c r="F116" s="394">
        <f t="shared" si="41"/>
        <v>0</v>
      </c>
      <c r="G116" s="411">
        <f t="shared" si="41"/>
        <v>0</v>
      </c>
      <c r="H116" s="394">
        <f t="shared" si="41"/>
        <v>0</v>
      </c>
      <c r="I116" s="394">
        <f t="shared" si="41"/>
        <v>0</v>
      </c>
      <c r="J116" s="394">
        <f t="shared" si="41"/>
        <v>0</v>
      </c>
      <c r="K116" s="394">
        <f t="shared" si="41"/>
        <v>0</v>
      </c>
      <c r="L116" s="411">
        <f t="shared" si="41"/>
        <v>0</v>
      </c>
      <c r="M116" s="394">
        <f t="shared" si="41"/>
        <v>0</v>
      </c>
      <c r="N116" s="394">
        <f t="shared" si="41"/>
        <v>0</v>
      </c>
      <c r="O116" s="394">
        <f t="shared" si="41"/>
        <v>0</v>
      </c>
      <c r="P116" s="394">
        <f t="shared" si="41"/>
        <v>0</v>
      </c>
      <c r="Q116" s="411">
        <f t="shared" si="41"/>
        <v>0</v>
      </c>
    </row>
    <row r="117" spans="1:18" ht="15" customHeight="1" x14ac:dyDescent="0.25">
      <c r="A117" s="42" t="s">
        <v>89</v>
      </c>
      <c r="C117" s="394">
        <f t="shared" ref="C117:Q117" si="42">ROUND(C41-C108-C112,3)</f>
        <v>0</v>
      </c>
      <c r="D117" s="394">
        <f t="shared" si="42"/>
        <v>0</v>
      </c>
      <c r="E117" s="394">
        <f t="shared" si="42"/>
        <v>0</v>
      </c>
      <c r="F117" s="394">
        <f t="shared" si="42"/>
        <v>0</v>
      </c>
      <c r="G117" s="411">
        <f t="shared" si="42"/>
        <v>0</v>
      </c>
      <c r="H117" s="394">
        <f t="shared" si="42"/>
        <v>0</v>
      </c>
      <c r="I117" s="394">
        <f t="shared" si="42"/>
        <v>0</v>
      </c>
      <c r="J117" s="394">
        <f t="shared" si="42"/>
        <v>0</v>
      </c>
      <c r="K117" s="394">
        <f t="shared" si="42"/>
        <v>0</v>
      </c>
      <c r="L117" s="411">
        <f t="shared" si="42"/>
        <v>0</v>
      </c>
      <c r="M117" s="394">
        <f t="shared" si="42"/>
        <v>0</v>
      </c>
      <c r="N117" s="394">
        <f t="shared" si="42"/>
        <v>0</v>
      </c>
      <c r="O117" s="394">
        <f t="shared" si="42"/>
        <v>0</v>
      </c>
      <c r="P117" s="394">
        <f t="shared" si="42"/>
        <v>0</v>
      </c>
      <c r="Q117" s="411">
        <f t="shared" si="42"/>
        <v>0</v>
      </c>
    </row>
    <row r="118" spans="1:18" ht="15" customHeight="1" x14ac:dyDescent="0.25">
      <c r="A118" s="42" t="s">
        <v>90</v>
      </c>
      <c r="C118" s="394">
        <f t="shared" ref="C118:Q118" si="43">ROUND(C42-C109-C113,3)</f>
        <v>0</v>
      </c>
      <c r="D118" s="394">
        <f t="shared" si="43"/>
        <v>0</v>
      </c>
      <c r="E118" s="394">
        <f t="shared" si="43"/>
        <v>0</v>
      </c>
      <c r="F118" s="394">
        <f t="shared" si="43"/>
        <v>0</v>
      </c>
      <c r="G118" s="411">
        <f t="shared" si="43"/>
        <v>0</v>
      </c>
      <c r="H118" s="394">
        <f t="shared" si="43"/>
        <v>0</v>
      </c>
      <c r="I118" s="394">
        <f t="shared" si="43"/>
        <v>0</v>
      </c>
      <c r="J118" s="394">
        <f t="shared" si="43"/>
        <v>0</v>
      </c>
      <c r="K118" s="394">
        <f t="shared" si="43"/>
        <v>0</v>
      </c>
      <c r="L118" s="411">
        <f t="shared" si="43"/>
        <v>0</v>
      </c>
      <c r="M118" s="394">
        <f t="shared" si="43"/>
        <v>0</v>
      </c>
      <c r="N118" s="394">
        <f t="shared" si="43"/>
        <v>0</v>
      </c>
      <c r="O118" s="394">
        <f t="shared" si="43"/>
        <v>0</v>
      </c>
      <c r="P118" s="394">
        <f t="shared" si="43"/>
        <v>0</v>
      </c>
      <c r="Q118" s="411">
        <f t="shared" si="43"/>
        <v>0</v>
      </c>
    </row>
    <row r="119" spans="1:18" x14ac:dyDescent="0.25">
      <c r="A119" s="63"/>
      <c r="C119" s="305"/>
      <c r="D119" s="305"/>
      <c r="E119" s="305"/>
      <c r="F119" s="305"/>
      <c r="G119" s="305"/>
      <c r="H119" s="305"/>
      <c r="I119" s="305"/>
      <c r="J119" s="305"/>
      <c r="K119" s="305"/>
      <c r="L119" s="305"/>
      <c r="M119" s="305"/>
      <c r="N119" s="305"/>
      <c r="O119" s="305"/>
      <c r="P119" s="305"/>
      <c r="Q119" s="305"/>
    </row>
    <row r="120" spans="1:18" x14ac:dyDescent="0.25">
      <c r="A120" s="64" t="s">
        <v>59</v>
      </c>
      <c r="C120" s="305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305"/>
      <c r="Q120" s="305"/>
    </row>
    <row r="121" spans="1:18" x14ac:dyDescent="0.25">
      <c r="A121" s="42" t="s">
        <v>114</v>
      </c>
      <c r="C121" s="394">
        <f t="shared" ref="C121:Q121" si="44">ROUND(C10+C14+C30-C48-C64-C80-C87-C97-C111,3)</f>
        <v>0</v>
      </c>
      <c r="D121" s="394">
        <f t="shared" si="44"/>
        <v>0</v>
      </c>
      <c r="E121" s="394">
        <f t="shared" si="44"/>
        <v>0</v>
      </c>
      <c r="F121" s="394">
        <f t="shared" si="44"/>
        <v>0</v>
      </c>
      <c r="G121" s="394">
        <f t="shared" si="44"/>
        <v>0</v>
      </c>
      <c r="H121" s="394">
        <f t="shared" si="44"/>
        <v>0</v>
      </c>
      <c r="I121" s="394">
        <f t="shared" si="44"/>
        <v>0</v>
      </c>
      <c r="J121" s="394">
        <f t="shared" si="44"/>
        <v>0</v>
      </c>
      <c r="K121" s="394">
        <f t="shared" si="44"/>
        <v>0</v>
      </c>
      <c r="L121" s="394">
        <f t="shared" si="44"/>
        <v>0</v>
      </c>
      <c r="M121" s="394">
        <f t="shared" si="44"/>
        <v>0</v>
      </c>
      <c r="N121" s="394">
        <f t="shared" si="44"/>
        <v>0</v>
      </c>
      <c r="O121" s="394">
        <f t="shared" si="44"/>
        <v>0</v>
      </c>
      <c r="P121" s="394">
        <f t="shared" si="44"/>
        <v>0</v>
      </c>
      <c r="Q121" s="394">
        <f t="shared" si="44"/>
        <v>0</v>
      </c>
      <c r="R121" s="4"/>
    </row>
    <row r="122" spans="1:18" x14ac:dyDescent="0.25">
      <c r="A122" s="42" t="s">
        <v>89</v>
      </c>
      <c r="C122" s="394">
        <f t="shared" ref="C122:Q122" si="45">ROUND(C11+C19+C33-C53-C69-C82-C90-C100-C112,3)</f>
        <v>0</v>
      </c>
      <c r="D122" s="394">
        <f t="shared" si="45"/>
        <v>0</v>
      </c>
      <c r="E122" s="394">
        <f t="shared" si="45"/>
        <v>0</v>
      </c>
      <c r="F122" s="394">
        <f t="shared" si="45"/>
        <v>0</v>
      </c>
      <c r="G122" s="394">
        <f t="shared" si="45"/>
        <v>0</v>
      </c>
      <c r="H122" s="394">
        <f t="shared" si="45"/>
        <v>0</v>
      </c>
      <c r="I122" s="394">
        <f t="shared" si="45"/>
        <v>0</v>
      </c>
      <c r="J122" s="394">
        <f t="shared" si="45"/>
        <v>0</v>
      </c>
      <c r="K122" s="394">
        <f t="shared" si="45"/>
        <v>0</v>
      </c>
      <c r="L122" s="394">
        <f t="shared" si="45"/>
        <v>0</v>
      </c>
      <c r="M122" s="394">
        <f t="shared" si="45"/>
        <v>0</v>
      </c>
      <c r="N122" s="394">
        <f t="shared" si="45"/>
        <v>0</v>
      </c>
      <c r="O122" s="394">
        <f t="shared" si="45"/>
        <v>0</v>
      </c>
      <c r="P122" s="394">
        <f t="shared" si="45"/>
        <v>0</v>
      </c>
      <c r="Q122" s="394">
        <f t="shared" si="45"/>
        <v>0</v>
      </c>
      <c r="R122" s="4"/>
    </row>
    <row r="123" spans="1:18" x14ac:dyDescent="0.25">
      <c r="A123" s="42" t="s">
        <v>90</v>
      </c>
      <c r="C123" s="394">
        <f t="shared" ref="C123:Q123" si="46">ROUND(C12+C24+C36-C58-C74-C84-C93-C103-C113,3)</f>
        <v>0</v>
      </c>
      <c r="D123" s="394">
        <f t="shared" si="46"/>
        <v>0</v>
      </c>
      <c r="E123" s="394">
        <f t="shared" si="46"/>
        <v>0</v>
      </c>
      <c r="F123" s="394">
        <f t="shared" si="46"/>
        <v>0</v>
      </c>
      <c r="G123" s="394">
        <f t="shared" si="46"/>
        <v>0</v>
      </c>
      <c r="H123" s="394">
        <f t="shared" si="46"/>
        <v>0</v>
      </c>
      <c r="I123" s="394">
        <f t="shared" si="46"/>
        <v>0</v>
      </c>
      <c r="J123" s="394">
        <f t="shared" si="46"/>
        <v>0</v>
      </c>
      <c r="K123" s="394">
        <f t="shared" si="46"/>
        <v>0</v>
      </c>
      <c r="L123" s="394">
        <f t="shared" si="46"/>
        <v>0</v>
      </c>
      <c r="M123" s="394">
        <f t="shared" si="46"/>
        <v>0</v>
      </c>
      <c r="N123" s="394">
        <f t="shared" si="46"/>
        <v>0</v>
      </c>
      <c r="O123" s="394">
        <f t="shared" si="46"/>
        <v>0</v>
      </c>
      <c r="P123" s="394">
        <f t="shared" si="46"/>
        <v>0</v>
      </c>
      <c r="Q123" s="394">
        <f t="shared" si="46"/>
        <v>0</v>
      </c>
      <c r="R123" s="4"/>
    </row>
    <row r="124" spans="1:18" ht="13.5" customHeight="1" x14ac:dyDescent="0.25">
      <c r="A124" s="42"/>
      <c r="C124" s="304"/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</row>
    <row r="125" spans="1:18" x14ac:dyDescent="0.25">
      <c r="A125" s="42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</row>
    <row r="126" spans="1:18" x14ac:dyDescent="0.25">
      <c r="A126" s="42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</row>
    <row r="127" spans="1:18" x14ac:dyDescent="0.25">
      <c r="A127" s="42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</row>
    <row r="128" spans="1:18" x14ac:dyDescent="0.25">
      <c r="A128" s="42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</row>
    <row r="253" spans="5:5" ht="15" customHeight="1" x14ac:dyDescent="0.25">
      <c r="E253" s="33">
        <f>E216-E120+'2. Прогноз. Без корректировки'!D253</f>
        <v>0</v>
      </c>
    </row>
  </sheetData>
  <sheetProtection algorithmName="SHA-512" hashValue="wbSXQKdOlpRXMpJVQEyFOs4p5SXJE6eIc4s5qKKHQLRTC3Yt8VlQo30rRH8/+XZBFlL7i3GokzJRQiigAujaFQ==" saltValue="Rh5GaoMwRg4DK3ty17B1Cg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5">
    <dataValidation type="decimal" operator="greaterThan" allowBlank="1" showInputMessage="1" showErrorMessage="1" sqref="E97:F99 D98:D99 H104:K105 H101:K102 C104:F105 M101:P102 M98:P99 L86 Q86 C96:C97 C99 I96:Q96 H98:K99 M104:P105 C101:F102 G86 D96:G96 Q40:Q46 L40:L46 H17:K95 G40:G46 M17:P95 C17:F95">
      <formula1>-1000000000</formula1>
    </dataValidation>
    <dataValidation operator="greaterThan" allowBlank="1" showInputMessage="1" showErrorMessage="1" sqref="G47 L47 Q79 H97:K97 C103:F103 M100:P100 M103:P103 Q47 H96 C100:F100 D97 M97:P97 H100:K100 H103:K103 G79 L79 G63 L63 Q63"/>
    <dataValidation type="whole" operator="greaterThan" allowBlank="1" showInputMessage="1" showErrorMessage="1" sqref="M111:P113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5:L39 G25:G39 L15:L18 Q15:Q18 G15:G18 G20:G23 L20:L23 Q20:Q23 Q25:Q39">
      <formula1>-1000000000</formula1>
    </dataValidation>
    <dataValidation type="decimal" allowBlank="1" showInputMessage="1" showErrorMessage="1" sqref="G81 L81 Q81 G83 L83 Q83 G85 L85 Q85">
      <formula1>-1000000000</formula1>
      <formula2>1000000000000000</formula2>
    </dataValidation>
  </dataValidations>
  <pageMargins left="0.11811023622047245" right="0.11811023622047245" top="0.19685039370078741" bottom="0.19685039370078741" header="0.11811023622047245" footer="0.19685039370078741"/>
  <pageSetup paperSize="9" scale="51" firstPageNumber="0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</sheetPr>
  <dimension ref="A1:T248"/>
  <sheetViews>
    <sheetView showGridLines="0" zoomScaleNormal="100" workbookViewId="0">
      <pane xSplit="2" ySplit="8" topLeftCell="C6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outlineLevelRow="3" x14ac:dyDescent="0.25"/>
  <cols>
    <col min="1" max="1" width="62.42578125" style="14" customWidth="1"/>
    <col min="2" max="2" width="12.5703125" style="82" customWidth="1"/>
    <col min="3" max="17" width="13.7109375" style="33" customWidth="1"/>
    <col min="18" max="18" width="8.7109375" style="33"/>
    <col min="19" max="19" width="35.28515625" customWidth="1"/>
    <col min="20" max="20" width="10.42578125" customWidth="1"/>
  </cols>
  <sheetData>
    <row r="1" spans="1:20" ht="15" customHeight="1" outlineLevel="1" x14ac:dyDescent="0.25">
      <c r="A1" s="18"/>
      <c r="B1" s="257" t="s">
        <v>10</v>
      </c>
      <c r="R1" s="32"/>
    </row>
    <row r="2" spans="1:20" ht="15" customHeight="1" outlineLevel="1" x14ac:dyDescent="0.25">
      <c r="A2" s="17" t="s">
        <v>9</v>
      </c>
      <c r="B2" s="258"/>
    </row>
    <row r="3" spans="1:20" ht="15" customHeight="1" outlineLevel="1" x14ac:dyDescent="0.25">
      <c r="A3" s="17" t="s">
        <v>62</v>
      </c>
      <c r="B3" s="393"/>
    </row>
    <row r="4" spans="1:20" ht="15" customHeight="1" outlineLevel="1" x14ac:dyDescent="0.25">
      <c r="A4" s="78"/>
      <c r="B4" s="259"/>
      <c r="C4" s="96"/>
    </row>
    <row r="5" spans="1:20" ht="15" customHeight="1" outlineLevel="1" x14ac:dyDescent="0.25">
      <c r="A5" s="78"/>
      <c r="B5" s="259"/>
      <c r="C5" s="96"/>
      <c r="E5" s="83"/>
      <c r="F5" s="83"/>
    </row>
    <row r="6" spans="1:20" ht="15" customHeight="1" collapsed="1" thickBot="1" x14ac:dyDescent="0.3"/>
    <row r="7" spans="1:20" ht="15" customHeight="1" x14ac:dyDescent="0.25">
      <c r="A7" s="618" t="s">
        <v>16</v>
      </c>
      <c r="B7" s="620" t="s">
        <v>42</v>
      </c>
      <c r="C7" s="611" t="str">
        <f>YEAR(Test_date)&amp;" год"</f>
        <v>2019 год</v>
      </c>
      <c r="D7" s="612"/>
      <c r="E7" s="612"/>
      <c r="F7" s="613"/>
      <c r="G7" s="614" t="str">
        <f>C7</f>
        <v>2019 год</v>
      </c>
      <c r="H7" s="611" t="str">
        <f>(LEFT(C7,4)+1)&amp;" год"</f>
        <v>2020 год</v>
      </c>
      <c r="I7" s="612"/>
      <c r="J7" s="612"/>
      <c r="K7" s="613"/>
      <c r="L7" s="614" t="str">
        <f>H7</f>
        <v>2020 год</v>
      </c>
      <c r="M7" s="611" t="str">
        <f>(LEFT(H7,4)+1)&amp;" год"</f>
        <v>2021 год</v>
      </c>
      <c r="N7" s="612"/>
      <c r="O7" s="612"/>
      <c r="P7" s="613"/>
      <c r="Q7" s="614" t="str">
        <f>M7</f>
        <v>2021 год</v>
      </c>
      <c r="S7" s="10"/>
      <c r="T7" s="10"/>
    </row>
    <row r="8" spans="1:20" ht="15" customHeight="1" thickBot="1" x14ac:dyDescent="0.3">
      <c r="A8" s="619"/>
      <c r="B8" s="621"/>
      <c r="C8" s="540">
        <v>1</v>
      </c>
      <c r="D8" s="541">
        <v>2</v>
      </c>
      <c r="E8" s="541">
        <v>3</v>
      </c>
      <c r="F8" s="542">
        <v>4</v>
      </c>
      <c r="G8" s="615"/>
      <c r="H8" s="540">
        <v>1</v>
      </c>
      <c r="I8" s="541">
        <v>2</v>
      </c>
      <c r="J8" s="541">
        <v>3</v>
      </c>
      <c r="K8" s="542">
        <v>4</v>
      </c>
      <c r="L8" s="615"/>
      <c r="M8" s="540">
        <v>1</v>
      </c>
      <c r="N8" s="541">
        <v>2</v>
      </c>
      <c r="O8" s="541">
        <v>3</v>
      </c>
      <c r="P8" s="542">
        <v>4</v>
      </c>
      <c r="Q8" s="615"/>
      <c r="S8" s="10"/>
      <c r="T8" s="10"/>
    </row>
    <row r="9" spans="1:20" s="10" customFormat="1" ht="15" customHeight="1" x14ac:dyDescent="0.25">
      <c r="A9" s="451" t="s">
        <v>44</v>
      </c>
      <c r="B9" s="452" t="s">
        <v>102</v>
      </c>
      <c r="C9" s="453">
        <f t="shared" ref="C9:Q9" si="0">ROUND(C10+C11+C12,3)</f>
        <v>4.5990000000000002</v>
      </c>
      <c r="D9" s="453">
        <f t="shared" si="0"/>
        <v>4.7720000000000002</v>
      </c>
      <c r="E9" s="453">
        <f t="shared" si="0"/>
        <v>4.5339999999999998</v>
      </c>
      <c r="F9" s="454">
        <f t="shared" si="0"/>
        <v>4.4870000000000001</v>
      </c>
      <c r="G9" s="455">
        <f t="shared" si="0"/>
        <v>4.5990000000000002</v>
      </c>
      <c r="H9" s="453">
        <f t="shared" si="0"/>
        <v>4.5529999999999999</v>
      </c>
      <c r="I9" s="453">
        <f t="shared" si="0"/>
        <v>4.7300000000000004</v>
      </c>
      <c r="J9" s="453">
        <f t="shared" si="0"/>
        <v>4.4969999999999999</v>
      </c>
      <c r="K9" s="454">
        <f t="shared" si="0"/>
        <v>4.4539999999999997</v>
      </c>
      <c r="L9" s="455">
        <f t="shared" si="0"/>
        <v>4.5529999999999999</v>
      </c>
      <c r="M9" s="453">
        <f t="shared" si="0"/>
        <v>4.524</v>
      </c>
      <c r="N9" s="453">
        <f t="shared" si="0"/>
        <v>4.7069999999999999</v>
      </c>
      <c r="O9" s="453">
        <f t="shared" si="0"/>
        <v>4.4790000000000001</v>
      </c>
      <c r="P9" s="454">
        <f t="shared" si="0"/>
        <v>4.4409999999999998</v>
      </c>
      <c r="Q9" s="455">
        <f t="shared" si="0"/>
        <v>4.524</v>
      </c>
      <c r="R9" s="97"/>
    </row>
    <row r="10" spans="1:20" s="14" customFormat="1" ht="15" customHeight="1" outlineLevel="1" x14ac:dyDescent="0.25">
      <c r="A10" s="456" t="s">
        <v>114</v>
      </c>
      <c r="B10" s="457" t="s">
        <v>102</v>
      </c>
      <c r="C10" s="458">
        <f>ROUND(G10,3)</f>
        <v>3.819</v>
      </c>
      <c r="D10" s="459">
        <f t="shared" ref="D10:F12" si="1">ROUND(C111,3)</f>
        <v>4.008</v>
      </c>
      <c r="E10" s="459">
        <f t="shared" si="1"/>
        <v>3.9020000000000001</v>
      </c>
      <c r="F10" s="460">
        <f t="shared" si="1"/>
        <v>3.855</v>
      </c>
      <c r="G10" s="461">
        <f>ROUND('1.Статистика'!AK88,3)</f>
        <v>3.819</v>
      </c>
      <c r="H10" s="458">
        <f>ROUND(L10,3)</f>
        <v>3.819</v>
      </c>
      <c r="I10" s="459">
        <f t="shared" ref="I10:K12" si="2">ROUND(H111,3)</f>
        <v>4.0119999999999996</v>
      </c>
      <c r="J10" s="459">
        <f t="shared" si="2"/>
        <v>3.911</v>
      </c>
      <c r="K10" s="460">
        <f t="shared" si="2"/>
        <v>3.8679999999999999</v>
      </c>
      <c r="L10" s="461">
        <f>ROUND(F111,3)</f>
        <v>3.819</v>
      </c>
      <c r="M10" s="458">
        <f>ROUND(Q10,3)</f>
        <v>3.8359999999999999</v>
      </c>
      <c r="N10" s="459">
        <f t="shared" ref="N10:P12" si="3">ROUND(M111,3)</f>
        <v>4.0339999999999998</v>
      </c>
      <c r="O10" s="459">
        <f t="shared" si="3"/>
        <v>3.9369999999999998</v>
      </c>
      <c r="P10" s="460">
        <f t="shared" si="3"/>
        <v>3.899</v>
      </c>
      <c r="Q10" s="461">
        <f>ROUND(K111,3)</f>
        <v>3.8359999999999999</v>
      </c>
      <c r="R10" s="98"/>
    </row>
    <row r="11" spans="1:20" s="14" customFormat="1" ht="15" customHeight="1" outlineLevel="1" x14ac:dyDescent="0.25">
      <c r="A11" s="456" t="s">
        <v>89</v>
      </c>
      <c r="B11" s="457" t="s">
        <v>102</v>
      </c>
      <c r="C11" s="458">
        <f>ROUND(G11,3)</f>
        <v>0.47599999999999998</v>
      </c>
      <c r="D11" s="459">
        <f t="shared" si="1"/>
        <v>0.46300000000000002</v>
      </c>
      <c r="E11" s="459">
        <f t="shared" si="1"/>
        <v>0.46800000000000003</v>
      </c>
      <c r="F11" s="460">
        <f t="shared" si="1"/>
        <v>0.47099999999999997</v>
      </c>
      <c r="G11" s="461">
        <f>ROUND('1.Статистика'!AK89,3)</f>
        <v>0.47599999999999998</v>
      </c>
      <c r="H11" s="458">
        <f>ROUND(L11,3)</f>
        <v>0.47599999999999998</v>
      </c>
      <c r="I11" s="459">
        <f t="shared" si="2"/>
        <v>0.46300000000000002</v>
      </c>
      <c r="J11" s="459">
        <f t="shared" si="2"/>
        <v>0.46800000000000003</v>
      </c>
      <c r="K11" s="460">
        <f t="shared" si="2"/>
        <v>0.47099999999999997</v>
      </c>
      <c r="L11" s="461">
        <f>ROUND(F112,3)</f>
        <v>0.47599999999999998</v>
      </c>
      <c r="M11" s="458">
        <f>ROUND(Q11,3)</f>
        <v>0.47599999999999998</v>
      </c>
      <c r="N11" s="459">
        <f t="shared" si="3"/>
        <v>0.46400000000000002</v>
      </c>
      <c r="O11" s="459">
        <f t="shared" si="3"/>
        <v>0.46899999999999997</v>
      </c>
      <c r="P11" s="460">
        <f t="shared" si="3"/>
        <v>0.47199999999999998</v>
      </c>
      <c r="Q11" s="461">
        <f>ROUND(K112,3)</f>
        <v>0.47599999999999998</v>
      </c>
      <c r="R11" s="98"/>
    </row>
    <row r="12" spans="1:20" s="14" customFormat="1" ht="15" customHeight="1" outlineLevel="1" x14ac:dyDescent="0.25">
      <c r="A12" s="456" t="s">
        <v>90</v>
      </c>
      <c r="B12" s="457" t="s">
        <v>102</v>
      </c>
      <c r="C12" s="458">
        <f>ROUND(G12,3)</f>
        <v>0.30399999999999999</v>
      </c>
      <c r="D12" s="459">
        <f t="shared" si="1"/>
        <v>0.30099999999999999</v>
      </c>
      <c r="E12" s="459">
        <f t="shared" si="1"/>
        <v>0.16400000000000001</v>
      </c>
      <c r="F12" s="460">
        <f t="shared" si="1"/>
        <v>0.161</v>
      </c>
      <c r="G12" s="461">
        <f>ROUND('1.Статистика'!AK90,3)</f>
        <v>0.30399999999999999</v>
      </c>
      <c r="H12" s="458">
        <f>ROUND(L12,3)</f>
        <v>0.25800000000000001</v>
      </c>
      <c r="I12" s="459">
        <f t="shared" si="2"/>
        <v>0.255</v>
      </c>
      <c r="J12" s="459">
        <f t="shared" si="2"/>
        <v>0.11799999999999999</v>
      </c>
      <c r="K12" s="460">
        <f t="shared" si="2"/>
        <v>0.115</v>
      </c>
      <c r="L12" s="461">
        <f>ROUND(F113,3)</f>
        <v>0.25800000000000001</v>
      </c>
      <c r="M12" s="458">
        <f>ROUND(Q12,3)</f>
        <v>0.21199999999999999</v>
      </c>
      <c r="N12" s="459">
        <f t="shared" si="3"/>
        <v>0.20899999999999999</v>
      </c>
      <c r="O12" s="459">
        <f t="shared" si="3"/>
        <v>7.2999999999999995E-2</v>
      </c>
      <c r="P12" s="460">
        <f t="shared" si="3"/>
        <v>7.0000000000000007E-2</v>
      </c>
      <c r="Q12" s="461">
        <f>ROUND(K113,3)</f>
        <v>0.21199999999999999</v>
      </c>
      <c r="R12" s="98"/>
    </row>
    <row r="13" spans="1:20" s="16" customFormat="1" ht="15" customHeight="1" x14ac:dyDescent="0.25">
      <c r="A13" s="462" t="s">
        <v>103</v>
      </c>
      <c r="B13" s="463" t="s">
        <v>102</v>
      </c>
      <c r="C13" s="464">
        <f t="shared" ref="C13:Q13" si="4">ROUND(C14+C19+C24,3)</f>
        <v>1.1000000000000001</v>
      </c>
      <c r="D13" s="464">
        <f t="shared" si="4"/>
        <v>0.8</v>
      </c>
      <c r="E13" s="464">
        <f t="shared" si="4"/>
        <v>0.8</v>
      </c>
      <c r="F13" s="465">
        <f t="shared" si="4"/>
        <v>0.97</v>
      </c>
      <c r="G13" s="455">
        <f t="shared" si="4"/>
        <v>3.67</v>
      </c>
      <c r="H13" s="464">
        <f t="shared" si="4"/>
        <v>3</v>
      </c>
      <c r="I13" s="464">
        <f t="shared" si="4"/>
        <v>3</v>
      </c>
      <c r="J13" s="464">
        <f t="shared" si="4"/>
        <v>3</v>
      </c>
      <c r="K13" s="465">
        <f t="shared" si="4"/>
        <v>3</v>
      </c>
      <c r="L13" s="455">
        <f t="shared" si="4"/>
        <v>12</v>
      </c>
      <c r="M13" s="464">
        <f t="shared" si="4"/>
        <v>3.85</v>
      </c>
      <c r="N13" s="464">
        <f t="shared" si="4"/>
        <v>4</v>
      </c>
      <c r="O13" s="464">
        <f t="shared" si="4"/>
        <v>4.1100000000000003</v>
      </c>
      <c r="P13" s="465">
        <f t="shared" si="4"/>
        <v>4.04</v>
      </c>
      <c r="Q13" s="455">
        <f t="shared" si="4"/>
        <v>16</v>
      </c>
      <c r="R13" s="99"/>
    </row>
    <row r="14" spans="1:20" ht="15" customHeight="1" outlineLevel="1" collapsed="1" x14ac:dyDescent="0.25">
      <c r="A14" s="456" t="s">
        <v>94</v>
      </c>
      <c r="B14" s="466" t="s">
        <v>102</v>
      </c>
      <c r="C14" s="467">
        <f t="shared" ref="C14:Q14" si="5">ROUND(C15+C16-C17+C18,3)</f>
        <v>0.93300000000000005</v>
      </c>
      <c r="D14" s="467">
        <f t="shared" si="5"/>
        <v>0.66300000000000003</v>
      </c>
      <c r="E14" s="467">
        <f t="shared" si="5"/>
        <v>0.66300000000000003</v>
      </c>
      <c r="F14" s="468">
        <f t="shared" si="5"/>
        <v>0.83</v>
      </c>
      <c r="G14" s="461">
        <f t="shared" si="5"/>
        <v>3.089</v>
      </c>
      <c r="H14" s="467">
        <f t="shared" si="5"/>
        <v>2.8330000000000002</v>
      </c>
      <c r="I14" s="467">
        <f t="shared" si="5"/>
        <v>2.863</v>
      </c>
      <c r="J14" s="467">
        <f t="shared" si="5"/>
        <v>2.863</v>
      </c>
      <c r="K14" s="468">
        <f t="shared" si="5"/>
        <v>2.86</v>
      </c>
      <c r="L14" s="461">
        <f t="shared" si="5"/>
        <v>11.419</v>
      </c>
      <c r="M14" s="467">
        <f t="shared" si="5"/>
        <v>3.3330000000000002</v>
      </c>
      <c r="N14" s="467">
        <f t="shared" si="5"/>
        <v>3.613</v>
      </c>
      <c r="O14" s="467">
        <f t="shared" si="5"/>
        <v>3.6230000000000002</v>
      </c>
      <c r="P14" s="468">
        <f t="shared" si="5"/>
        <v>3.6</v>
      </c>
      <c r="Q14" s="461">
        <f t="shared" si="5"/>
        <v>14.169</v>
      </c>
    </row>
    <row r="15" spans="1:20" s="107" customFormat="1" ht="15" hidden="1" customHeight="1" outlineLevel="2" x14ac:dyDescent="0.25">
      <c r="A15" s="469" t="s">
        <v>99</v>
      </c>
      <c r="B15" s="470" t="s">
        <v>102</v>
      </c>
      <c r="C15" s="471">
        <f>ROUND('1.Статистика'!N35,3)</f>
        <v>2.5539999999999998</v>
      </c>
      <c r="D15" s="471">
        <f>ROUND('1.Статистика'!O35,3)</f>
        <v>2.5539999999999998</v>
      </c>
      <c r="E15" s="471">
        <f>ROUND('1.Статистика'!P35,3)</f>
        <v>2.5550000000000002</v>
      </c>
      <c r="F15" s="472">
        <f>ROUND('1.Статистика'!Q35,3)</f>
        <v>2.5550000000000002</v>
      </c>
      <c r="G15" s="473">
        <f>ROUND(SUM(C15:F15),3)</f>
        <v>10.218</v>
      </c>
      <c r="H15" s="471">
        <f>ROUND(C14,3)</f>
        <v>0.93300000000000005</v>
      </c>
      <c r="I15" s="471">
        <f>ROUND(D14,3)</f>
        <v>0.66300000000000003</v>
      </c>
      <c r="J15" s="471">
        <f>ROUND(E14,3)</f>
        <v>0.66300000000000003</v>
      </c>
      <c r="K15" s="472">
        <f>ROUND(F14,3)</f>
        <v>0.83</v>
      </c>
      <c r="L15" s="473">
        <f>ROUND(SUM(H15:K15),3)</f>
        <v>3.089</v>
      </c>
      <c r="M15" s="471">
        <f>ROUND(H14,3)</f>
        <v>2.8330000000000002</v>
      </c>
      <c r="N15" s="471">
        <f>ROUND(I14,3)</f>
        <v>2.863</v>
      </c>
      <c r="O15" s="471">
        <f>ROUND(J14,3)</f>
        <v>2.863</v>
      </c>
      <c r="P15" s="472">
        <f>ROUND(K14,3)</f>
        <v>2.86</v>
      </c>
      <c r="Q15" s="473">
        <f>ROUND(SUM(M15:P15),3)</f>
        <v>11.419</v>
      </c>
      <c r="R15" s="106"/>
    </row>
    <row r="16" spans="1:20" s="107" customFormat="1" ht="30.6" hidden="1" customHeight="1" outlineLevel="2" x14ac:dyDescent="0.25">
      <c r="A16" s="469" t="s">
        <v>95</v>
      </c>
      <c r="B16" s="470" t="s">
        <v>102</v>
      </c>
      <c r="C16" s="474">
        <f>ROUND('1.Статистика'!D12,3)</f>
        <v>0</v>
      </c>
      <c r="D16" s="474">
        <f>ROUND('1.Статистика'!E12,3)</f>
        <v>0</v>
      </c>
      <c r="E16" s="474">
        <f>ROUND('1.Статистика'!F12,3)</f>
        <v>0</v>
      </c>
      <c r="F16" s="475">
        <f>ROUND('1.Статистика'!G12,3)</f>
        <v>0</v>
      </c>
      <c r="G16" s="473">
        <f>ROUND(SUM(C16:F16),3)</f>
        <v>0</v>
      </c>
      <c r="H16" s="474">
        <f>ROUND('1.Статистика'!I12,3)</f>
        <v>0</v>
      </c>
      <c r="I16" s="474">
        <f>ROUND('1.Статистика'!J12,3)</f>
        <v>0</v>
      </c>
      <c r="J16" s="474">
        <f>ROUND('1.Статистика'!K12,3)</f>
        <v>0</v>
      </c>
      <c r="K16" s="474">
        <f>ROUND('1.Статистика'!L12,3)</f>
        <v>0</v>
      </c>
      <c r="L16" s="473">
        <f>ROUND(SUM(H16:K16),3)</f>
        <v>0</v>
      </c>
      <c r="M16" s="474">
        <f>ROUND('1.Статистика'!N12,3)</f>
        <v>0</v>
      </c>
      <c r="N16" s="474">
        <f>ROUND('1.Статистика'!O12,3)</f>
        <v>0</v>
      </c>
      <c r="O16" s="474">
        <f>ROUND('1.Статистика'!P12,3)</f>
        <v>0</v>
      </c>
      <c r="P16" s="474">
        <f>ROUND('1.Статистика'!Q12,3)</f>
        <v>0</v>
      </c>
      <c r="Q16" s="473">
        <f>ROUND(SUM(M16:P16),3)</f>
        <v>0</v>
      </c>
      <c r="R16" s="106"/>
    </row>
    <row r="17" spans="1:18" s="107" customFormat="1" ht="31.15" hidden="1" customHeight="1" outlineLevel="2" x14ac:dyDescent="0.25">
      <c r="A17" s="469" t="s">
        <v>96</v>
      </c>
      <c r="B17" s="470" t="s">
        <v>102</v>
      </c>
      <c r="C17" s="471">
        <f>ROUND('2. Прогноз. Без корректировки'!C17,3)</f>
        <v>0</v>
      </c>
      <c r="D17" s="471">
        <f>ROUND('2. Прогноз. Без корректировки'!D17,3)</f>
        <v>0</v>
      </c>
      <c r="E17" s="471">
        <f>ROUND('2. Прогноз. Без корректировки'!E17,3)</f>
        <v>0</v>
      </c>
      <c r="F17" s="472">
        <f>ROUND('2. Прогноз. Без корректировки'!F17,3)</f>
        <v>0</v>
      </c>
      <c r="G17" s="473">
        <f>ROUND(SUM(C17:F17),3)</f>
        <v>0</v>
      </c>
      <c r="H17" s="471">
        <f>ROUND('2. Прогноз. Без корректировки'!H17,3)</f>
        <v>0</v>
      </c>
      <c r="I17" s="471">
        <f>ROUND('2. Прогноз. Без корректировки'!I17,3)</f>
        <v>0</v>
      </c>
      <c r="J17" s="471">
        <f>ROUND('2. Прогноз. Без корректировки'!J17,3)</f>
        <v>0</v>
      </c>
      <c r="K17" s="472">
        <f>ROUND('2. Прогноз. Без корректировки'!K17,3)</f>
        <v>0</v>
      </c>
      <c r="L17" s="473">
        <f>ROUND(SUM(H17:K17),3)</f>
        <v>0</v>
      </c>
      <c r="M17" s="471">
        <f>ROUND('2. Прогноз. Без корректировки'!M17,3)</f>
        <v>0</v>
      </c>
      <c r="N17" s="471">
        <f>ROUND('2. Прогноз. Без корректировки'!N17,3)</f>
        <v>0</v>
      </c>
      <c r="O17" s="471">
        <f>ROUND('2. Прогноз. Без корректировки'!O17,3)</f>
        <v>0</v>
      </c>
      <c r="P17" s="472">
        <f>ROUND('2. Прогноз. Без корректировки'!P17,3)</f>
        <v>0</v>
      </c>
      <c r="Q17" s="473">
        <f>ROUND(SUM(M17:P17),3)</f>
        <v>0</v>
      </c>
      <c r="R17" s="106"/>
    </row>
    <row r="18" spans="1:18" s="107" customFormat="1" ht="31.5" hidden="1" customHeight="1" outlineLevel="2" x14ac:dyDescent="0.25">
      <c r="A18" s="469" t="s">
        <v>97</v>
      </c>
      <c r="B18" s="470" t="s">
        <v>102</v>
      </c>
      <c r="C18" s="471">
        <f>ROUND('2. Прогноз. Без корректировки'!C18,3)</f>
        <v>-1.621</v>
      </c>
      <c r="D18" s="471">
        <f>ROUND('2. Прогноз. Без корректировки'!D18,3)</f>
        <v>-1.891</v>
      </c>
      <c r="E18" s="471">
        <f>ROUND('2. Прогноз. Без корректировки'!E18,3)</f>
        <v>-1.8919999999999999</v>
      </c>
      <c r="F18" s="472">
        <f>ROUND('2. Прогноз. Без корректировки'!F18,3)</f>
        <v>-1.7250000000000001</v>
      </c>
      <c r="G18" s="473">
        <f>ROUND(SUM(C18:F18),3)</f>
        <v>-7.1289999999999996</v>
      </c>
      <c r="H18" s="471">
        <f>ROUND('2. Прогноз. Без корректировки'!H18,3)</f>
        <v>1.9</v>
      </c>
      <c r="I18" s="471">
        <f>ROUND('2. Прогноз. Без корректировки'!I18,3)</f>
        <v>2.2000000000000002</v>
      </c>
      <c r="J18" s="471">
        <f>ROUND('2. Прогноз. Без корректировки'!J18,3)</f>
        <v>2.2000000000000002</v>
      </c>
      <c r="K18" s="472">
        <f>ROUND('2. Прогноз. Без корректировки'!K18,3)</f>
        <v>2.0299999999999998</v>
      </c>
      <c r="L18" s="473">
        <f>ROUND(SUM(H18:K18),3)</f>
        <v>8.33</v>
      </c>
      <c r="M18" s="471">
        <f>ROUND('2. Прогноз. Без корректировки'!M18,3)</f>
        <v>0.5</v>
      </c>
      <c r="N18" s="471">
        <f>ROUND('2. Прогноз. Без корректировки'!N18,3)</f>
        <v>0.75</v>
      </c>
      <c r="O18" s="471">
        <f>ROUND('2. Прогноз. Без корректировки'!O18,3)</f>
        <v>0.76</v>
      </c>
      <c r="P18" s="472">
        <f>ROUND('2. Прогноз. Без корректировки'!P18,3)</f>
        <v>0.74</v>
      </c>
      <c r="Q18" s="473">
        <f>ROUND(SUM(M18:P18),3)</f>
        <v>2.75</v>
      </c>
      <c r="R18" s="106"/>
    </row>
    <row r="19" spans="1:18" s="15" customFormat="1" ht="15" hidden="1" customHeight="1" outlineLevel="2" x14ac:dyDescent="0.25">
      <c r="A19" s="476" t="s">
        <v>89</v>
      </c>
      <c r="B19" s="466" t="s">
        <v>102</v>
      </c>
      <c r="C19" s="467">
        <f t="shared" ref="C19:Q19" si="6">ROUND(C20+C21-C22+C23,3)</f>
        <v>0.11</v>
      </c>
      <c r="D19" s="467">
        <f t="shared" si="6"/>
        <v>0.08</v>
      </c>
      <c r="E19" s="467">
        <f t="shared" si="6"/>
        <v>0.08</v>
      </c>
      <c r="F19" s="468">
        <f t="shared" si="6"/>
        <v>8.3000000000000004E-2</v>
      </c>
      <c r="G19" s="461">
        <f t="shared" si="6"/>
        <v>0.35299999999999998</v>
      </c>
      <c r="H19" s="467">
        <f t="shared" si="6"/>
        <v>0.11</v>
      </c>
      <c r="I19" s="467">
        <f t="shared" si="6"/>
        <v>0.08</v>
      </c>
      <c r="J19" s="467">
        <f t="shared" si="6"/>
        <v>0.08</v>
      </c>
      <c r="K19" s="468">
        <f t="shared" si="6"/>
        <v>8.3000000000000004E-2</v>
      </c>
      <c r="L19" s="461">
        <f t="shared" si="6"/>
        <v>0.35299999999999998</v>
      </c>
      <c r="M19" s="467">
        <f t="shared" si="6"/>
        <v>0.16</v>
      </c>
      <c r="N19" s="467">
        <f t="shared" si="6"/>
        <v>0.13</v>
      </c>
      <c r="O19" s="467">
        <f t="shared" si="6"/>
        <v>0.13</v>
      </c>
      <c r="P19" s="468">
        <f t="shared" si="6"/>
        <v>0.13300000000000001</v>
      </c>
      <c r="Q19" s="461">
        <f t="shared" si="6"/>
        <v>0.55300000000000005</v>
      </c>
      <c r="R19" s="100"/>
    </row>
    <row r="20" spans="1:18" s="107" customFormat="1" ht="15" hidden="1" customHeight="1" outlineLevel="2" x14ac:dyDescent="0.25">
      <c r="A20" s="469" t="s">
        <v>99</v>
      </c>
      <c r="B20" s="470" t="s">
        <v>102</v>
      </c>
      <c r="C20" s="471">
        <f>ROUND('1.Статистика'!N36,3)</f>
        <v>0.184</v>
      </c>
      <c r="D20" s="471">
        <f>ROUND('1.Статистика'!O36,3)</f>
        <v>0.184</v>
      </c>
      <c r="E20" s="471">
        <f>ROUND('1.Статистика'!P36,3)</f>
        <v>0.184</v>
      </c>
      <c r="F20" s="472">
        <f>ROUND('1.Статистика'!Q36,3)</f>
        <v>0.184</v>
      </c>
      <c r="G20" s="473">
        <f>ROUND(SUM(C20:F20),3)</f>
        <v>0.73599999999999999</v>
      </c>
      <c r="H20" s="471">
        <f>ROUND(C19,3)</f>
        <v>0.11</v>
      </c>
      <c r="I20" s="471">
        <f>ROUND(D19,3)</f>
        <v>0.08</v>
      </c>
      <c r="J20" s="471">
        <f>ROUND(E19,3)</f>
        <v>0.08</v>
      </c>
      <c r="K20" s="472">
        <f>ROUND(F19,3)</f>
        <v>8.3000000000000004E-2</v>
      </c>
      <c r="L20" s="473">
        <f>ROUND(SUM(H20:K20),3)</f>
        <v>0.35299999999999998</v>
      </c>
      <c r="M20" s="471">
        <f>ROUND(H19,3)</f>
        <v>0.11</v>
      </c>
      <c r="N20" s="471">
        <f>ROUND(I19,3)</f>
        <v>0.08</v>
      </c>
      <c r="O20" s="471">
        <f>ROUND(J19,3)</f>
        <v>0.08</v>
      </c>
      <c r="P20" s="472">
        <f>ROUND(K19,3)</f>
        <v>8.3000000000000004E-2</v>
      </c>
      <c r="Q20" s="473">
        <f>ROUND(SUM(M20:P20),3)</f>
        <v>0.35299999999999998</v>
      </c>
      <c r="R20" s="108"/>
    </row>
    <row r="21" spans="1:18" s="107" customFormat="1" ht="34.5" customHeight="1" outlineLevel="1" collapsed="1" x14ac:dyDescent="0.25">
      <c r="A21" s="469" t="s">
        <v>95</v>
      </c>
      <c r="B21" s="470" t="s">
        <v>102</v>
      </c>
      <c r="C21" s="474">
        <f>ROUND('1.Статистика'!D13,3)</f>
        <v>0</v>
      </c>
      <c r="D21" s="474">
        <f>ROUND('1.Статистика'!E13,3)</f>
        <v>0</v>
      </c>
      <c r="E21" s="474">
        <f>ROUND('1.Статистика'!F13,3)</f>
        <v>0</v>
      </c>
      <c r="F21" s="475">
        <f>ROUND('1.Статистика'!G13,3)</f>
        <v>0</v>
      </c>
      <c r="G21" s="473">
        <f>ROUND(SUM(C21:F21),3)</f>
        <v>0</v>
      </c>
      <c r="H21" s="474">
        <f>ROUND('1.Статистика'!I13,3)</f>
        <v>0</v>
      </c>
      <c r="I21" s="474">
        <f>ROUND('1.Статистика'!J13,3)</f>
        <v>0</v>
      </c>
      <c r="J21" s="474">
        <f>ROUND('1.Статистика'!K13,3)</f>
        <v>0</v>
      </c>
      <c r="K21" s="474">
        <f>ROUND('1.Статистика'!L13,3)</f>
        <v>0</v>
      </c>
      <c r="L21" s="473">
        <f>ROUND(SUM(H21:K21),3)</f>
        <v>0</v>
      </c>
      <c r="M21" s="474">
        <f>ROUND('1.Статистика'!N13,3)</f>
        <v>0</v>
      </c>
      <c r="N21" s="474">
        <f>ROUND('1.Статистика'!O13,3)</f>
        <v>0</v>
      </c>
      <c r="O21" s="474">
        <f>ROUND('1.Статистика'!P13,3)</f>
        <v>0</v>
      </c>
      <c r="P21" s="474">
        <f>ROUND('1.Статистика'!Q13,3)</f>
        <v>0</v>
      </c>
      <c r="Q21" s="473">
        <f>ROUND(SUM(M21:P21),3)</f>
        <v>0</v>
      </c>
      <c r="R21" s="106"/>
    </row>
    <row r="22" spans="1:18" s="107" customFormat="1" ht="32.1" hidden="1" customHeight="1" outlineLevel="2" x14ac:dyDescent="0.25">
      <c r="A22" s="469" t="s">
        <v>96</v>
      </c>
      <c r="B22" s="470" t="s">
        <v>102</v>
      </c>
      <c r="C22" s="471">
        <f>ROUND('2. Прогноз. Без корректировки'!C22,3)</f>
        <v>0</v>
      </c>
      <c r="D22" s="471">
        <f>ROUND('2. Прогноз. Без корректировки'!D22,3)</f>
        <v>0</v>
      </c>
      <c r="E22" s="471">
        <f>ROUND('2. Прогноз. Без корректировки'!E22,3)</f>
        <v>0</v>
      </c>
      <c r="F22" s="472">
        <f>ROUND('2. Прогноз. Без корректировки'!F22,3)</f>
        <v>0</v>
      </c>
      <c r="G22" s="473">
        <f>ROUND(SUM(C22:F22),3)</f>
        <v>0</v>
      </c>
      <c r="H22" s="471">
        <f>ROUND('2. Прогноз. Без корректировки'!H22,3)</f>
        <v>0</v>
      </c>
      <c r="I22" s="471">
        <f>ROUND('2. Прогноз. Без корректировки'!I22,3)</f>
        <v>0</v>
      </c>
      <c r="J22" s="471">
        <f>ROUND('2. Прогноз. Без корректировки'!J22,3)</f>
        <v>0</v>
      </c>
      <c r="K22" s="472">
        <f>ROUND('2. Прогноз. Без корректировки'!K22,3)</f>
        <v>0</v>
      </c>
      <c r="L22" s="473">
        <f>ROUND(SUM(H22:K22),3)</f>
        <v>0</v>
      </c>
      <c r="M22" s="471">
        <f>ROUND('2. Прогноз. Без корректировки'!M22,3)</f>
        <v>0</v>
      </c>
      <c r="N22" s="471">
        <f>ROUND('2. Прогноз. Без корректировки'!N22,3)</f>
        <v>0</v>
      </c>
      <c r="O22" s="471">
        <f>ROUND('2. Прогноз. Без корректировки'!O22,3)</f>
        <v>0</v>
      </c>
      <c r="P22" s="472">
        <f>ROUND('2. Прогноз. Без корректировки'!P22,3)</f>
        <v>0</v>
      </c>
      <c r="Q22" s="473">
        <f>ROUND(SUM(M22:P22),3)</f>
        <v>0</v>
      </c>
      <c r="R22" s="106"/>
    </row>
    <row r="23" spans="1:18" s="107" customFormat="1" ht="33.6" hidden="1" customHeight="1" outlineLevel="2" x14ac:dyDescent="0.25">
      <c r="A23" s="469" t="s">
        <v>97</v>
      </c>
      <c r="B23" s="470" t="s">
        <v>102</v>
      </c>
      <c r="C23" s="471">
        <f>ROUND('2. Прогноз. Без корректировки'!C23,3)</f>
        <v>-7.3999999999999996E-2</v>
      </c>
      <c r="D23" s="471">
        <f>ROUND('2. Прогноз. Без корректировки'!D23,3)</f>
        <v>-0.104</v>
      </c>
      <c r="E23" s="471">
        <f>ROUND('2. Прогноз. Без корректировки'!E23,3)</f>
        <v>-0.104</v>
      </c>
      <c r="F23" s="472">
        <f>ROUND('2. Прогноз. Без корректировки'!F23,3)</f>
        <v>-0.10100000000000001</v>
      </c>
      <c r="G23" s="473">
        <f>ROUND(SUM(C23:F23),3)</f>
        <v>-0.38300000000000001</v>
      </c>
      <c r="H23" s="471">
        <f>ROUND('2. Прогноз. Без корректировки'!H23,3)</f>
        <v>0</v>
      </c>
      <c r="I23" s="471">
        <f>ROUND('2. Прогноз. Без корректировки'!I23,3)</f>
        <v>0</v>
      </c>
      <c r="J23" s="471">
        <f>ROUND('2. Прогноз. Без корректировки'!J23,3)</f>
        <v>0</v>
      </c>
      <c r="K23" s="472">
        <f>ROUND('2. Прогноз. Без корректировки'!K23,3)</f>
        <v>0</v>
      </c>
      <c r="L23" s="473">
        <f>ROUND(SUM(H23:K23),3)</f>
        <v>0</v>
      </c>
      <c r="M23" s="471">
        <f>ROUND('2. Прогноз. Без корректировки'!M23,3)</f>
        <v>0.05</v>
      </c>
      <c r="N23" s="471">
        <f>ROUND('2. Прогноз. Без корректировки'!N23,3)</f>
        <v>0.05</v>
      </c>
      <c r="O23" s="471">
        <f>ROUND('2. Прогноз. Без корректировки'!O23,3)</f>
        <v>0.05</v>
      </c>
      <c r="P23" s="472">
        <f>ROUND('2. Прогноз. Без корректировки'!P23,3)</f>
        <v>0.05</v>
      </c>
      <c r="Q23" s="473">
        <f>ROUND(SUM(M23:P23),3)</f>
        <v>0.2</v>
      </c>
      <c r="R23" s="106"/>
    </row>
    <row r="24" spans="1:18" s="15" customFormat="1" ht="15" hidden="1" customHeight="1" outlineLevel="2" x14ac:dyDescent="0.25">
      <c r="A24" s="476" t="s">
        <v>90</v>
      </c>
      <c r="B24" s="466" t="s">
        <v>102</v>
      </c>
      <c r="C24" s="467">
        <f t="shared" ref="C24:Q24" si="7">ROUND(C25+C26-C27+C28,3)</f>
        <v>5.7000000000000002E-2</v>
      </c>
      <c r="D24" s="467">
        <f t="shared" si="7"/>
        <v>5.7000000000000002E-2</v>
      </c>
      <c r="E24" s="467">
        <f t="shared" si="7"/>
        <v>5.7000000000000002E-2</v>
      </c>
      <c r="F24" s="468">
        <f t="shared" si="7"/>
        <v>5.7000000000000002E-2</v>
      </c>
      <c r="G24" s="461">
        <f t="shared" si="7"/>
        <v>0.22800000000000001</v>
      </c>
      <c r="H24" s="467">
        <f t="shared" si="7"/>
        <v>5.7000000000000002E-2</v>
      </c>
      <c r="I24" s="467">
        <f t="shared" si="7"/>
        <v>5.7000000000000002E-2</v>
      </c>
      <c r="J24" s="467">
        <f t="shared" si="7"/>
        <v>5.7000000000000002E-2</v>
      </c>
      <c r="K24" s="468">
        <f t="shared" si="7"/>
        <v>5.7000000000000002E-2</v>
      </c>
      <c r="L24" s="461">
        <f t="shared" si="7"/>
        <v>0.22800000000000001</v>
      </c>
      <c r="M24" s="467">
        <f t="shared" si="7"/>
        <v>0.35699999999999998</v>
      </c>
      <c r="N24" s="467">
        <f t="shared" si="7"/>
        <v>0.25700000000000001</v>
      </c>
      <c r="O24" s="467">
        <f t="shared" si="7"/>
        <v>0.35699999999999998</v>
      </c>
      <c r="P24" s="468">
        <f t="shared" si="7"/>
        <v>0.307</v>
      </c>
      <c r="Q24" s="461">
        <f t="shared" si="7"/>
        <v>1.278</v>
      </c>
      <c r="R24" s="100"/>
    </row>
    <row r="25" spans="1:18" s="107" customFormat="1" ht="15" hidden="1" customHeight="1" outlineLevel="2" x14ac:dyDescent="0.25">
      <c r="A25" s="469" t="s">
        <v>99</v>
      </c>
      <c r="B25" s="470" t="s">
        <v>102</v>
      </c>
      <c r="C25" s="471">
        <f>ROUND('1.Статистика'!N37,3)</f>
        <v>5.7000000000000002E-2</v>
      </c>
      <c r="D25" s="471">
        <f>ROUND('1.Статистика'!O37,3)</f>
        <v>5.7000000000000002E-2</v>
      </c>
      <c r="E25" s="471">
        <f>ROUND('1.Статистика'!P37,3)</f>
        <v>5.7000000000000002E-2</v>
      </c>
      <c r="F25" s="472">
        <f>ROUND('1.Статистика'!Q37,3)</f>
        <v>5.7000000000000002E-2</v>
      </c>
      <c r="G25" s="473">
        <f>ROUND(SUM(C25:F25),3)</f>
        <v>0.22800000000000001</v>
      </c>
      <c r="H25" s="471">
        <f>ROUND(C24,3)</f>
        <v>5.7000000000000002E-2</v>
      </c>
      <c r="I25" s="471">
        <f>ROUND(D24,3)</f>
        <v>5.7000000000000002E-2</v>
      </c>
      <c r="J25" s="471">
        <f>ROUND(E24,3)</f>
        <v>5.7000000000000002E-2</v>
      </c>
      <c r="K25" s="472">
        <f>ROUND(F24,3)</f>
        <v>5.7000000000000002E-2</v>
      </c>
      <c r="L25" s="473">
        <f>ROUND(SUM(H25:K25),3)</f>
        <v>0.22800000000000001</v>
      </c>
      <c r="M25" s="471">
        <f>ROUND(H24,3)</f>
        <v>5.7000000000000002E-2</v>
      </c>
      <c r="N25" s="471">
        <f>ROUND(I24,3)</f>
        <v>5.7000000000000002E-2</v>
      </c>
      <c r="O25" s="471">
        <f>ROUND(J24,3)</f>
        <v>5.7000000000000002E-2</v>
      </c>
      <c r="P25" s="472">
        <f>ROUND(K24,3)</f>
        <v>5.7000000000000002E-2</v>
      </c>
      <c r="Q25" s="473">
        <f>ROUND(SUM(M25:P25),3)</f>
        <v>0.22800000000000001</v>
      </c>
      <c r="R25" s="106"/>
    </row>
    <row r="26" spans="1:18" s="107" customFormat="1" ht="27" hidden="1" customHeight="1" outlineLevel="2" x14ac:dyDescent="0.25">
      <c r="A26" s="469" t="s">
        <v>95</v>
      </c>
      <c r="B26" s="470" t="s">
        <v>102</v>
      </c>
      <c r="C26" s="474">
        <f>ROUND('1.Статистика'!D14,3)</f>
        <v>0</v>
      </c>
      <c r="D26" s="474">
        <f>ROUND('1.Статистика'!E14,3)</f>
        <v>0</v>
      </c>
      <c r="E26" s="474">
        <f>ROUND('1.Статистика'!F14,3)</f>
        <v>0</v>
      </c>
      <c r="F26" s="475">
        <f>ROUND('1.Статистика'!G14,3)</f>
        <v>0</v>
      </c>
      <c r="G26" s="473">
        <f>ROUND(SUM(C26:F26),3)</f>
        <v>0</v>
      </c>
      <c r="H26" s="474">
        <f>ROUND('1.Статистика'!I14,3)</f>
        <v>0</v>
      </c>
      <c r="I26" s="474">
        <f>ROUND('1.Статистика'!J14,3)</f>
        <v>0</v>
      </c>
      <c r="J26" s="474">
        <f>ROUND('1.Статистика'!K14,3)</f>
        <v>0</v>
      </c>
      <c r="K26" s="474">
        <f>ROUND('1.Статистика'!L14,3)</f>
        <v>0</v>
      </c>
      <c r="L26" s="473">
        <f>ROUND(SUM(H26:K26),3)</f>
        <v>0</v>
      </c>
      <c r="M26" s="474">
        <f>ROUND('1.Статистика'!N14,3)</f>
        <v>0</v>
      </c>
      <c r="N26" s="474">
        <f>ROUND('1.Статистика'!O14,3)</f>
        <v>0</v>
      </c>
      <c r="O26" s="474">
        <f>ROUND('1.Статистика'!P14,3)</f>
        <v>0</v>
      </c>
      <c r="P26" s="474">
        <f>ROUND('1.Статистика'!Q14,3)</f>
        <v>0</v>
      </c>
      <c r="Q26" s="473">
        <f>ROUND(SUM(M26:P26),3)</f>
        <v>0</v>
      </c>
      <c r="R26" s="106"/>
    </row>
    <row r="27" spans="1:18" s="107" customFormat="1" ht="29.65" hidden="1" customHeight="1" outlineLevel="2" x14ac:dyDescent="0.25">
      <c r="A27" s="469" t="s">
        <v>96</v>
      </c>
      <c r="B27" s="470" t="s">
        <v>102</v>
      </c>
      <c r="C27" s="471">
        <f>ROUND('2. Прогноз. Без корректировки'!C27,3)</f>
        <v>0</v>
      </c>
      <c r="D27" s="471">
        <f>ROUND('2. Прогноз. Без корректировки'!D27,3)</f>
        <v>0</v>
      </c>
      <c r="E27" s="471">
        <f>ROUND('2. Прогноз. Без корректировки'!E27,3)</f>
        <v>0</v>
      </c>
      <c r="F27" s="472">
        <f>ROUND('2. Прогноз. Без корректировки'!F27,3)</f>
        <v>0</v>
      </c>
      <c r="G27" s="473">
        <f>ROUND(SUM(C27:F27),3)</f>
        <v>0</v>
      </c>
      <c r="H27" s="471">
        <f>ROUND('2. Прогноз. Без корректировки'!H27,3)</f>
        <v>0</v>
      </c>
      <c r="I27" s="471">
        <f>ROUND('2. Прогноз. Без корректировки'!I27,3)</f>
        <v>0</v>
      </c>
      <c r="J27" s="471">
        <f>ROUND('2. Прогноз. Без корректировки'!J27,3)</f>
        <v>0</v>
      </c>
      <c r="K27" s="472">
        <f>ROUND('2. Прогноз. Без корректировки'!K27,3)</f>
        <v>0</v>
      </c>
      <c r="L27" s="473">
        <f>ROUND(SUM(H27:K27),3)</f>
        <v>0</v>
      </c>
      <c r="M27" s="471">
        <f>ROUND('2. Прогноз. Без корректировки'!M27,3)</f>
        <v>0</v>
      </c>
      <c r="N27" s="471">
        <f>ROUND('2. Прогноз. Без корректировки'!N27,3)</f>
        <v>0</v>
      </c>
      <c r="O27" s="471">
        <f>ROUND('2. Прогноз. Без корректировки'!O27,3)</f>
        <v>0</v>
      </c>
      <c r="P27" s="472">
        <f>ROUND('2. Прогноз. Без корректировки'!P27,3)</f>
        <v>0</v>
      </c>
      <c r="Q27" s="473">
        <f>ROUND(SUM(M27:P27),3)</f>
        <v>0</v>
      </c>
      <c r="R27" s="106"/>
    </row>
    <row r="28" spans="1:18" s="107" customFormat="1" ht="33" customHeight="1" outlineLevel="1" x14ac:dyDescent="0.25">
      <c r="A28" s="469" t="s">
        <v>97</v>
      </c>
      <c r="B28" s="470" t="s">
        <v>102</v>
      </c>
      <c r="C28" s="471">
        <f>ROUND('2. Прогноз. Без корректировки'!C28,3)</f>
        <v>0</v>
      </c>
      <c r="D28" s="471">
        <f>ROUND('2. Прогноз. Без корректировки'!D28,3)</f>
        <v>0</v>
      </c>
      <c r="E28" s="471">
        <f>ROUND('2. Прогноз. Без корректировки'!E28,3)</f>
        <v>0</v>
      </c>
      <c r="F28" s="472">
        <f>ROUND('2. Прогноз. Без корректировки'!F28,3)</f>
        <v>0</v>
      </c>
      <c r="G28" s="473">
        <f>ROUND(SUM(C28:F28),3)</f>
        <v>0</v>
      </c>
      <c r="H28" s="471">
        <f>ROUND('2. Прогноз. Без корректировки'!H28,3)</f>
        <v>0</v>
      </c>
      <c r="I28" s="471">
        <f>ROUND('2. Прогноз. Без корректировки'!I28,3)</f>
        <v>0</v>
      </c>
      <c r="J28" s="471">
        <f>ROUND('2. Прогноз. Без корректировки'!J28,3)</f>
        <v>0</v>
      </c>
      <c r="K28" s="472">
        <f>ROUND('2. Прогноз. Без корректировки'!K28,3)</f>
        <v>0</v>
      </c>
      <c r="L28" s="473">
        <f>ROUND(SUM(H28:K28),3)</f>
        <v>0</v>
      </c>
      <c r="M28" s="471">
        <f>ROUND('2. Прогноз. Без корректировки'!M28,3)</f>
        <v>0.3</v>
      </c>
      <c r="N28" s="471">
        <f>ROUND('2. Прогноз. Без корректировки'!N28,3)</f>
        <v>0.2</v>
      </c>
      <c r="O28" s="471">
        <f>ROUND('2. Прогноз. Без корректировки'!O28,3)</f>
        <v>0.3</v>
      </c>
      <c r="P28" s="472">
        <f>ROUND('2. Прогноз. Без корректировки'!P28,3)</f>
        <v>0.25</v>
      </c>
      <c r="Q28" s="473">
        <f>ROUND(SUM(M28:P28),3)</f>
        <v>1.05</v>
      </c>
      <c r="R28" s="106"/>
    </row>
    <row r="29" spans="1:18" s="16" customFormat="1" ht="15" customHeight="1" x14ac:dyDescent="0.25">
      <c r="A29" s="462" t="s">
        <v>45</v>
      </c>
      <c r="B29" s="463" t="s">
        <v>102</v>
      </c>
      <c r="C29" s="464">
        <f t="shared" ref="C29:Q29" si="8">ROUND(C30+C33+C36,3)</f>
        <v>30.582999999999998</v>
      </c>
      <c r="D29" s="477">
        <f t="shared" si="8"/>
        <v>30.533000000000001</v>
      </c>
      <c r="E29" s="477">
        <f t="shared" si="8"/>
        <v>30.673999999999999</v>
      </c>
      <c r="F29" s="478">
        <f t="shared" si="8"/>
        <v>30.556000000000001</v>
      </c>
      <c r="G29" s="455">
        <f t="shared" si="8"/>
        <v>122.346</v>
      </c>
      <c r="H29" s="464">
        <f t="shared" si="8"/>
        <v>28.681999999999999</v>
      </c>
      <c r="I29" s="477">
        <f t="shared" si="8"/>
        <v>28.331</v>
      </c>
      <c r="J29" s="477">
        <f t="shared" si="8"/>
        <v>28.472000000000001</v>
      </c>
      <c r="K29" s="478">
        <f t="shared" si="8"/>
        <v>28.524000000000001</v>
      </c>
      <c r="L29" s="455">
        <f t="shared" si="8"/>
        <v>114.009</v>
      </c>
      <c r="M29" s="464">
        <f t="shared" si="8"/>
        <v>27.832000000000001</v>
      </c>
      <c r="N29" s="477">
        <f t="shared" si="8"/>
        <v>27.329000000000001</v>
      </c>
      <c r="O29" s="477">
        <f t="shared" si="8"/>
        <v>27.361999999999998</v>
      </c>
      <c r="P29" s="478">
        <f t="shared" si="8"/>
        <v>27.486999999999998</v>
      </c>
      <c r="Q29" s="455">
        <f t="shared" si="8"/>
        <v>110.01</v>
      </c>
      <c r="R29" s="99"/>
    </row>
    <row r="30" spans="1:18" ht="15" customHeight="1" outlineLevel="1" collapsed="1" x14ac:dyDescent="0.25">
      <c r="A30" s="456" t="s">
        <v>94</v>
      </c>
      <c r="B30" s="479" t="s">
        <v>102</v>
      </c>
      <c r="C30" s="467">
        <f t="shared" ref="C30:Q30" si="9">ROUND(C31+C32,3)</f>
        <v>25.027000000000001</v>
      </c>
      <c r="D30" s="480">
        <f t="shared" si="9"/>
        <v>25.001999999999999</v>
      </c>
      <c r="E30" s="480">
        <f t="shared" si="9"/>
        <v>25.047000000000001</v>
      </c>
      <c r="F30" s="481">
        <f t="shared" si="9"/>
        <v>24.88</v>
      </c>
      <c r="G30" s="461">
        <f t="shared" si="9"/>
        <v>99.956000000000003</v>
      </c>
      <c r="H30" s="467">
        <f t="shared" si="9"/>
        <v>23.126999999999999</v>
      </c>
      <c r="I30" s="480">
        <f t="shared" si="9"/>
        <v>22.802</v>
      </c>
      <c r="J30" s="480">
        <f t="shared" si="9"/>
        <v>22.847000000000001</v>
      </c>
      <c r="K30" s="481">
        <f t="shared" si="9"/>
        <v>22.85</v>
      </c>
      <c r="L30" s="461">
        <f t="shared" si="9"/>
        <v>91.626000000000005</v>
      </c>
      <c r="M30" s="467">
        <f t="shared" si="9"/>
        <v>22.626999999999999</v>
      </c>
      <c r="N30" s="480">
        <f t="shared" si="9"/>
        <v>22.052</v>
      </c>
      <c r="O30" s="480">
        <f t="shared" si="9"/>
        <v>22.087</v>
      </c>
      <c r="P30" s="481">
        <f t="shared" si="9"/>
        <v>22.11</v>
      </c>
      <c r="Q30" s="461">
        <f t="shared" si="9"/>
        <v>88.876000000000005</v>
      </c>
      <c r="R30" s="84"/>
    </row>
    <row r="31" spans="1:18" s="15" customFormat="1" ht="15" hidden="1" customHeight="1" outlineLevel="2" x14ac:dyDescent="0.25">
      <c r="A31" s="482" t="s">
        <v>46</v>
      </c>
      <c r="B31" s="483" t="s">
        <v>102</v>
      </c>
      <c r="C31" s="474">
        <f>ROUND('1.Статистика'!N39,3)</f>
        <v>23.405999999999999</v>
      </c>
      <c r="D31" s="484">
        <f>ROUND('1.Статистика'!O39,3)</f>
        <v>23.111000000000001</v>
      </c>
      <c r="E31" s="484">
        <f>ROUND('1.Статистика'!P39,3)</f>
        <v>23.155000000000001</v>
      </c>
      <c r="F31" s="485">
        <f>ROUND('1.Статистика'!Q39,3)</f>
        <v>23.155000000000001</v>
      </c>
      <c r="G31" s="473">
        <f>ROUND(SUM(C31:F31),3)</f>
        <v>92.826999999999998</v>
      </c>
      <c r="H31" s="474">
        <f>ROUND(C30,3)</f>
        <v>25.027000000000001</v>
      </c>
      <c r="I31" s="474">
        <f>ROUND(D30,3)</f>
        <v>25.001999999999999</v>
      </c>
      <c r="J31" s="474">
        <f>ROUND(E30,3)</f>
        <v>25.047000000000001</v>
      </c>
      <c r="K31" s="475">
        <f>ROUND(F30,3)</f>
        <v>24.88</v>
      </c>
      <c r="L31" s="473">
        <f>ROUND(SUM(H31:K31),3)</f>
        <v>99.956000000000003</v>
      </c>
      <c r="M31" s="474">
        <f>ROUND(H30,3)</f>
        <v>23.126999999999999</v>
      </c>
      <c r="N31" s="474">
        <f>ROUND(I30,3)</f>
        <v>22.802</v>
      </c>
      <c r="O31" s="474">
        <f>ROUND(J30,3)</f>
        <v>22.847000000000001</v>
      </c>
      <c r="P31" s="475">
        <f>ROUND(K30,3)</f>
        <v>22.85</v>
      </c>
      <c r="Q31" s="473">
        <f>ROUND(SUM(M31:P31),3)</f>
        <v>91.626000000000005</v>
      </c>
      <c r="R31" s="100"/>
    </row>
    <row r="32" spans="1:18" s="15" customFormat="1" ht="15" hidden="1" customHeight="1" outlineLevel="2" x14ac:dyDescent="0.25">
      <c r="A32" s="482" t="s">
        <v>47</v>
      </c>
      <c r="B32" s="483" t="s">
        <v>102</v>
      </c>
      <c r="C32" s="486">
        <f>ROUND('1.Статистика'!C164-C31,3)</f>
        <v>1.621</v>
      </c>
      <c r="D32" s="486">
        <f>ROUND('1.Статистика'!D164-D31,3)</f>
        <v>1.891</v>
      </c>
      <c r="E32" s="486">
        <f>ROUND('1.Статистика'!E164-E31,3)</f>
        <v>1.8919999999999999</v>
      </c>
      <c r="F32" s="487">
        <f>ROUND('1.Статистика'!F164-F31,3)</f>
        <v>1.7250000000000001</v>
      </c>
      <c r="G32" s="473">
        <f>ROUND(SUM(C32:F32),3)</f>
        <v>7.1289999999999996</v>
      </c>
      <c r="H32" s="486">
        <f>ROUND('1.Статистика'!G164-H31,3)</f>
        <v>-1.9</v>
      </c>
      <c r="I32" s="486">
        <f>ROUND('1.Статистика'!H164-I31,3)</f>
        <v>-2.2000000000000002</v>
      </c>
      <c r="J32" s="486">
        <f>ROUND('1.Статистика'!I164-J31,3)</f>
        <v>-2.2000000000000002</v>
      </c>
      <c r="K32" s="487">
        <f>ROUND('1.Статистика'!J164-K31,3)</f>
        <v>-2.0299999999999998</v>
      </c>
      <c r="L32" s="473">
        <f>ROUND(SUM(H32:K32),3)</f>
        <v>-8.33</v>
      </c>
      <c r="M32" s="486">
        <f>ROUND('1.Статистика'!K164-M31,3)</f>
        <v>-0.5</v>
      </c>
      <c r="N32" s="486">
        <f>ROUND('1.Статистика'!L164-N31,3)</f>
        <v>-0.75</v>
      </c>
      <c r="O32" s="486">
        <f>ROUND('1.Статистика'!M164-O31,3)</f>
        <v>-0.76</v>
      </c>
      <c r="P32" s="487">
        <f>ROUND('1.Статистика'!N164-P31,3)</f>
        <v>-0.74</v>
      </c>
      <c r="Q32" s="473">
        <f>ROUND(SUM(M32:P32),3)</f>
        <v>-2.75</v>
      </c>
      <c r="R32" s="100"/>
    </row>
    <row r="33" spans="1:20" ht="15" customHeight="1" outlineLevel="1" collapsed="1" x14ac:dyDescent="0.25">
      <c r="A33" s="456" t="s">
        <v>89</v>
      </c>
      <c r="B33" s="479" t="s">
        <v>102</v>
      </c>
      <c r="C33" s="467">
        <f t="shared" ref="C33:Q33" si="10">ROUND(C34+C35,3)</f>
        <v>5.056</v>
      </c>
      <c r="D33" s="480">
        <f t="shared" si="10"/>
        <v>5.0810000000000004</v>
      </c>
      <c r="E33" s="480">
        <f t="shared" si="10"/>
        <v>5.1269999999999998</v>
      </c>
      <c r="F33" s="481">
        <f t="shared" si="10"/>
        <v>5.0759999999999996</v>
      </c>
      <c r="G33" s="461">
        <f t="shared" si="10"/>
        <v>20.34</v>
      </c>
      <c r="H33" s="467">
        <f t="shared" si="10"/>
        <v>5.0549999999999997</v>
      </c>
      <c r="I33" s="480">
        <f t="shared" si="10"/>
        <v>5.0789999999999997</v>
      </c>
      <c r="J33" s="480">
        <f t="shared" si="10"/>
        <v>5.125</v>
      </c>
      <c r="K33" s="481">
        <f t="shared" si="10"/>
        <v>5.0739999999999998</v>
      </c>
      <c r="L33" s="461">
        <f t="shared" si="10"/>
        <v>20.332999999999998</v>
      </c>
      <c r="M33" s="467">
        <f t="shared" si="10"/>
        <v>5.0049999999999999</v>
      </c>
      <c r="N33" s="480">
        <f t="shared" si="10"/>
        <v>5.0270000000000001</v>
      </c>
      <c r="O33" s="480">
        <f t="shared" si="10"/>
        <v>5.0750000000000002</v>
      </c>
      <c r="P33" s="481">
        <f t="shared" si="10"/>
        <v>5.0270000000000001</v>
      </c>
      <c r="Q33" s="461">
        <f t="shared" si="10"/>
        <v>20.134</v>
      </c>
    </row>
    <row r="34" spans="1:20" s="15" customFormat="1" ht="15" hidden="1" customHeight="1" outlineLevel="2" x14ac:dyDescent="0.25">
      <c r="A34" s="482" t="s">
        <v>46</v>
      </c>
      <c r="B34" s="483" t="s">
        <v>102</v>
      </c>
      <c r="C34" s="474">
        <f>ROUND('1.Статистика'!N40,3)</f>
        <v>4.9710000000000001</v>
      </c>
      <c r="D34" s="484">
        <f>ROUND('1.Статистика'!O40,3)</f>
        <v>4.9770000000000003</v>
      </c>
      <c r="E34" s="484">
        <f>ROUND('1.Статистика'!P40,3)</f>
        <v>5.0259999999999998</v>
      </c>
      <c r="F34" s="485">
        <f>ROUND('1.Статистика'!Q40,3)</f>
        <v>4.976</v>
      </c>
      <c r="G34" s="473">
        <f>ROUND(SUM(C34:F34),3)</f>
        <v>19.95</v>
      </c>
      <c r="H34" s="474">
        <f>ROUND(C33,3)</f>
        <v>5.056</v>
      </c>
      <c r="I34" s="474">
        <f>ROUND(D33,3)</f>
        <v>5.0810000000000004</v>
      </c>
      <c r="J34" s="474">
        <f>ROUND(E33,3)</f>
        <v>5.1269999999999998</v>
      </c>
      <c r="K34" s="475">
        <f>ROUND(F33,3)</f>
        <v>5.0759999999999996</v>
      </c>
      <c r="L34" s="473">
        <f>ROUND(SUM(H34:K34),3)</f>
        <v>20.34</v>
      </c>
      <c r="M34" s="474">
        <f>ROUND(H33,3)</f>
        <v>5.0549999999999997</v>
      </c>
      <c r="N34" s="474">
        <f>ROUND(I33,3)</f>
        <v>5.0789999999999997</v>
      </c>
      <c r="O34" s="474">
        <f>ROUND(J33,3)</f>
        <v>5.125</v>
      </c>
      <c r="P34" s="475">
        <f>ROUND(K33,3)</f>
        <v>5.0739999999999998</v>
      </c>
      <c r="Q34" s="473">
        <f>ROUND(SUM(M34:P34),3)</f>
        <v>20.332999999999998</v>
      </c>
      <c r="R34" s="100"/>
    </row>
    <row r="35" spans="1:20" s="15" customFormat="1" ht="15" hidden="1" customHeight="1" outlineLevel="2" x14ac:dyDescent="0.25">
      <c r="A35" s="482" t="s">
        <v>47</v>
      </c>
      <c r="B35" s="483" t="s">
        <v>102</v>
      </c>
      <c r="C35" s="486">
        <f>ROUND('1.Статистика'!C165-C34,3)</f>
        <v>8.5000000000000006E-2</v>
      </c>
      <c r="D35" s="486">
        <f>ROUND('1.Статистика'!D165-D34,3)</f>
        <v>0.104</v>
      </c>
      <c r="E35" s="486">
        <f>ROUND('1.Статистика'!E165-E34,3)</f>
        <v>0.10100000000000001</v>
      </c>
      <c r="F35" s="487">
        <f>ROUND('1.Статистика'!F165-F34,3)</f>
        <v>0.1</v>
      </c>
      <c r="G35" s="473">
        <f>ROUND(SUM(C35:F35),3)</f>
        <v>0.39</v>
      </c>
      <c r="H35" s="486">
        <f>ROUND('1.Статистика'!G165-H34,3)</f>
        <v>-1E-3</v>
      </c>
      <c r="I35" s="486">
        <f>ROUND('1.Статистика'!H165-I34,3)</f>
        <v>-2E-3</v>
      </c>
      <c r="J35" s="486">
        <f>ROUND('1.Статистика'!I165-J34,3)</f>
        <v>-2E-3</v>
      </c>
      <c r="K35" s="487">
        <f>ROUND('1.Статистика'!J165-K34,3)</f>
        <v>-2E-3</v>
      </c>
      <c r="L35" s="473">
        <f>ROUND(SUM(H35:K35),3)</f>
        <v>-7.0000000000000001E-3</v>
      </c>
      <c r="M35" s="486">
        <f>ROUND('1.Статистика'!K165-M34,3)</f>
        <v>-0.05</v>
      </c>
      <c r="N35" s="486">
        <f>ROUND('1.Статистика'!L165-N34,3)</f>
        <v>-5.1999999999999998E-2</v>
      </c>
      <c r="O35" s="486">
        <f>ROUND('1.Статистика'!M165-O34,3)</f>
        <v>-0.05</v>
      </c>
      <c r="P35" s="487">
        <f>ROUND('1.Статистика'!N165-P34,3)</f>
        <v>-4.7E-2</v>
      </c>
      <c r="Q35" s="473">
        <f>ROUND(SUM(M35:P35),3)</f>
        <v>-0.19900000000000001</v>
      </c>
      <c r="R35" s="100"/>
    </row>
    <row r="36" spans="1:20" ht="15" customHeight="1" outlineLevel="1" collapsed="1" x14ac:dyDescent="0.25">
      <c r="A36" s="456" t="s">
        <v>90</v>
      </c>
      <c r="B36" s="479" t="s">
        <v>102</v>
      </c>
      <c r="C36" s="467">
        <f t="shared" ref="C36:Q36" si="11">ROUND(C37+C38,3)</f>
        <v>0.5</v>
      </c>
      <c r="D36" s="480">
        <f t="shared" si="11"/>
        <v>0.45</v>
      </c>
      <c r="E36" s="480">
        <f t="shared" si="11"/>
        <v>0.5</v>
      </c>
      <c r="F36" s="481">
        <f t="shared" si="11"/>
        <v>0.6</v>
      </c>
      <c r="G36" s="461">
        <f t="shared" si="11"/>
        <v>2.0499999999999998</v>
      </c>
      <c r="H36" s="467">
        <f t="shared" si="11"/>
        <v>0.5</v>
      </c>
      <c r="I36" s="480">
        <f t="shared" si="11"/>
        <v>0.45</v>
      </c>
      <c r="J36" s="480">
        <f t="shared" si="11"/>
        <v>0.5</v>
      </c>
      <c r="K36" s="481">
        <f t="shared" si="11"/>
        <v>0.6</v>
      </c>
      <c r="L36" s="461">
        <f t="shared" si="11"/>
        <v>2.0499999999999998</v>
      </c>
      <c r="M36" s="467">
        <f t="shared" si="11"/>
        <v>0.2</v>
      </c>
      <c r="N36" s="480">
        <f t="shared" si="11"/>
        <v>0.25</v>
      </c>
      <c r="O36" s="480">
        <f t="shared" si="11"/>
        <v>0.2</v>
      </c>
      <c r="P36" s="481">
        <f t="shared" si="11"/>
        <v>0.35</v>
      </c>
      <c r="Q36" s="461">
        <f t="shared" si="11"/>
        <v>1</v>
      </c>
    </row>
    <row r="37" spans="1:20" s="15" customFormat="1" ht="15" hidden="1" customHeight="1" outlineLevel="2" x14ac:dyDescent="0.25">
      <c r="A37" s="482" t="s">
        <v>46</v>
      </c>
      <c r="B37" s="483" t="s">
        <v>102</v>
      </c>
      <c r="C37" s="474">
        <f>ROUND('1.Статистика'!N41,3)</f>
        <v>0.5</v>
      </c>
      <c r="D37" s="484">
        <f>ROUND('1.Статистика'!O41,3)</f>
        <v>0.45</v>
      </c>
      <c r="E37" s="484">
        <f>ROUND('1.Статистика'!P41,3)</f>
        <v>0.5</v>
      </c>
      <c r="F37" s="485">
        <f>ROUND('1.Статистика'!Q41,3)</f>
        <v>0.6</v>
      </c>
      <c r="G37" s="473">
        <f>ROUND(SUM(C37:F37),3)</f>
        <v>2.0499999999999998</v>
      </c>
      <c r="H37" s="474">
        <f>ROUND(C36,3)</f>
        <v>0.5</v>
      </c>
      <c r="I37" s="474">
        <f>ROUND(D36,3)</f>
        <v>0.45</v>
      </c>
      <c r="J37" s="474">
        <f>ROUND(E36,3)</f>
        <v>0.5</v>
      </c>
      <c r="K37" s="475">
        <f>ROUND(F36,3)</f>
        <v>0.6</v>
      </c>
      <c r="L37" s="473">
        <f>ROUND(SUM(H37:K37),3)</f>
        <v>2.0499999999999998</v>
      </c>
      <c r="M37" s="474">
        <f>ROUND(H36,3)</f>
        <v>0.5</v>
      </c>
      <c r="N37" s="474">
        <f>ROUND(I36,3)</f>
        <v>0.45</v>
      </c>
      <c r="O37" s="474">
        <f>ROUND(J36,3)</f>
        <v>0.5</v>
      </c>
      <c r="P37" s="475">
        <f>ROUND(K36,3)</f>
        <v>0.6</v>
      </c>
      <c r="Q37" s="473">
        <f>ROUND(SUM(M37:P37),3)</f>
        <v>2.0499999999999998</v>
      </c>
      <c r="R37" s="100"/>
    </row>
    <row r="38" spans="1:20" s="15" customFormat="1" ht="15" hidden="1" customHeight="1" outlineLevel="2" x14ac:dyDescent="0.25">
      <c r="A38" s="482" t="s">
        <v>47</v>
      </c>
      <c r="B38" s="483" t="s">
        <v>102</v>
      </c>
      <c r="C38" s="486">
        <f>ROUND('1.Статистика'!C166-C37,3)</f>
        <v>0</v>
      </c>
      <c r="D38" s="486">
        <f>ROUND('1.Статистика'!D166-D37,3)</f>
        <v>0</v>
      </c>
      <c r="E38" s="486">
        <f>ROUND('1.Статистика'!E166-E37,3)</f>
        <v>0</v>
      </c>
      <c r="F38" s="487">
        <f>ROUND('1.Статистика'!F166-F37,3)</f>
        <v>0</v>
      </c>
      <c r="G38" s="473">
        <f>ROUND(SUM(C38:F38),3)</f>
        <v>0</v>
      </c>
      <c r="H38" s="486">
        <f>ROUND('1.Статистика'!G166-H37,3)</f>
        <v>0</v>
      </c>
      <c r="I38" s="486">
        <f>ROUND('1.Статистика'!H166-I37,3)</f>
        <v>0</v>
      </c>
      <c r="J38" s="486">
        <f>ROUND('1.Статистика'!I166-J37,3)</f>
        <v>0</v>
      </c>
      <c r="K38" s="487">
        <f>ROUND('1.Статистика'!J166-K37,3)</f>
        <v>0</v>
      </c>
      <c r="L38" s="473">
        <f>ROUND(SUM(H38:K38),3)</f>
        <v>0</v>
      </c>
      <c r="M38" s="486">
        <f>ROUND('1.Статистика'!K166-M37,3)</f>
        <v>-0.3</v>
      </c>
      <c r="N38" s="486">
        <f>ROUND('1.Статистика'!L166-N37,3)</f>
        <v>-0.2</v>
      </c>
      <c r="O38" s="486">
        <f>ROUND('1.Статистика'!M166-O37,3)</f>
        <v>-0.3</v>
      </c>
      <c r="P38" s="487">
        <f>ROUND('1.Статистика'!N166-P37,3)</f>
        <v>-0.25</v>
      </c>
      <c r="Q38" s="473">
        <f>ROUND(SUM(M38:P38),3)</f>
        <v>-1.05</v>
      </c>
      <c r="R38" s="100"/>
    </row>
    <row r="39" spans="1:20" ht="15" customHeight="1" x14ac:dyDescent="0.25">
      <c r="A39" s="488" t="s">
        <v>43</v>
      </c>
      <c r="B39" s="489" t="s">
        <v>102</v>
      </c>
      <c r="C39" s="490">
        <f t="shared" ref="C39:Q39" si="12">ROUND(SUM(C40:C42),3)</f>
        <v>36.281999999999996</v>
      </c>
      <c r="D39" s="490">
        <f t="shared" si="12"/>
        <v>36.104999999999997</v>
      </c>
      <c r="E39" s="490">
        <f t="shared" si="12"/>
        <v>36.008000000000003</v>
      </c>
      <c r="F39" s="491">
        <f t="shared" si="12"/>
        <v>36.012999999999998</v>
      </c>
      <c r="G39" s="492">
        <f t="shared" si="12"/>
        <v>130.61500000000001</v>
      </c>
      <c r="H39" s="490">
        <f t="shared" si="12"/>
        <v>36.234999999999999</v>
      </c>
      <c r="I39" s="490">
        <f t="shared" si="12"/>
        <v>36.061</v>
      </c>
      <c r="J39" s="490">
        <f t="shared" si="12"/>
        <v>35.969000000000001</v>
      </c>
      <c r="K39" s="491">
        <f t="shared" si="12"/>
        <v>35.978000000000002</v>
      </c>
      <c r="L39" s="492">
        <f t="shared" si="12"/>
        <v>130.56200000000001</v>
      </c>
      <c r="M39" s="490">
        <f t="shared" si="12"/>
        <v>36.206000000000003</v>
      </c>
      <c r="N39" s="490">
        <f t="shared" si="12"/>
        <v>36.036000000000001</v>
      </c>
      <c r="O39" s="490">
        <f t="shared" si="12"/>
        <v>35.951000000000001</v>
      </c>
      <c r="P39" s="491">
        <f t="shared" si="12"/>
        <v>35.968000000000004</v>
      </c>
      <c r="Q39" s="492">
        <f t="shared" si="12"/>
        <v>130.53399999999999</v>
      </c>
      <c r="S39" s="10"/>
      <c r="T39" s="10"/>
    </row>
    <row r="40" spans="1:20" s="14" customFormat="1" ht="15" customHeight="1" outlineLevel="1" x14ac:dyDescent="0.25">
      <c r="A40" s="493" t="s">
        <v>114</v>
      </c>
      <c r="B40" s="457" t="s">
        <v>102</v>
      </c>
      <c r="C40" s="458">
        <f t="shared" ref="C40:Q40" si="13">ROUND(C10+C14+C30,3)</f>
        <v>29.779</v>
      </c>
      <c r="D40" s="458">
        <f t="shared" si="13"/>
        <v>29.672999999999998</v>
      </c>
      <c r="E40" s="458">
        <f t="shared" si="13"/>
        <v>29.611999999999998</v>
      </c>
      <c r="F40" s="494">
        <f t="shared" si="13"/>
        <v>29.565000000000001</v>
      </c>
      <c r="G40" s="461">
        <f t="shared" si="13"/>
        <v>106.864</v>
      </c>
      <c r="H40" s="458">
        <f t="shared" si="13"/>
        <v>29.779</v>
      </c>
      <c r="I40" s="458">
        <f t="shared" si="13"/>
        <v>29.677</v>
      </c>
      <c r="J40" s="458">
        <f t="shared" si="13"/>
        <v>29.620999999999999</v>
      </c>
      <c r="K40" s="494">
        <f t="shared" si="13"/>
        <v>29.577999999999999</v>
      </c>
      <c r="L40" s="461">
        <f t="shared" si="13"/>
        <v>106.864</v>
      </c>
      <c r="M40" s="458">
        <f t="shared" si="13"/>
        <v>29.795999999999999</v>
      </c>
      <c r="N40" s="458">
        <f t="shared" si="13"/>
        <v>29.699000000000002</v>
      </c>
      <c r="O40" s="458">
        <f t="shared" si="13"/>
        <v>29.646999999999998</v>
      </c>
      <c r="P40" s="494">
        <f t="shared" si="13"/>
        <v>29.609000000000002</v>
      </c>
      <c r="Q40" s="461">
        <f t="shared" si="13"/>
        <v>106.881</v>
      </c>
      <c r="R40" s="98"/>
    </row>
    <row r="41" spans="1:20" s="14" customFormat="1" ht="15" customHeight="1" outlineLevel="1" x14ac:dyDescent="0.25">
      <c r="A41" s="493" t="s">
        <v>89</v>
      </c>
      <c r="B41" s="457" t="s">
        <v>102</v>
      </c>
      <c r="C41" s="458">
        <f t="shared" ref="C41:Q41" si="14">ROUND(C11+C19+C33,3)</f>
        <v>5.6420000000000003</v>
      </c>
      <c r="D41" s="458">
        <f t="shared" si="14"/>
        <v>5.6239999999999997</v>
      </c>
      <c r="E41" s="458">
        <f t="shared" si="14"/>
        <v>5.6749999999999998</v>
      </c>
      <c r="F41" s="494">
        <f t="shared" si="14"/>
        <v>5.63</v>
      </c>
      <c r="G41" s="461">
        <f t="shared" si="14"/>
        <v>21.169</v>
      </c>
      <c r="H41" s="458">
        <f t="shared" si="14"/>
        <v>5.641</v>
      </c>
      <c r="I41" s="458">
        <f t="shared" si="14"/>
        <v>5.6219999999999999</v>
      </c>
      <c r="J41" s="458">
        <f t="shared" si="14"/>
        <v>5.673</v>
      </c>
      <c r="K41" s="494">
        <f t="shared" si="14"/>
        <v>5.6280000000000001</v>
      </c>
      <c r="L41" s="461">
        <f t="shared" si="14"/>
        <v>21.161999999999999</v>
      </c>
      <c r="M41" s="458">
        <f t="shared" si="14"/>
        <v>5.641</v>
      </c>
      <c r="N41" s="458">
        <f t="shared" si="14"/>
        <v>5.6210000000000004</v>
      </c>
      <c r="O41" s="458">
        <f t="shared" si="14"/>
        <v>5.6740000000000004</v>
      </c>
      <c r="P41" s="494">
        <f t="shared" si="14"/>
        <v>5.6319999999999997</v>
      </c>
      <c r="Q41" s="461">
        <f t="shared" si="14"/>
        <v>21.163</v>
      </c>
      <c r="R41" s="98"/>
    </row>
    <row r="42" spans="1:20" s="14" customFormat="1" ht="15" customHeight="1" outlineLevel="1" x14ac:dyDescent="0.25">
      <c r="A42" s="493" t="s">
        <v>90</v>
      </c>
      <c r="B42" s="457" t="s">
        <v>102</v>
      </c>
      <c r="C42" s="458">
        <f t="shared" ref="C42:Q42" si="15">ROUND(C12+C24+C36,3)</f>
        <v>0.86099999999999999</v>
      </c>
      <c r="D42" s="458">
        <f t="shared" si="15"/>
        <v>0.80800000000000005</v>
      </c>
      <c r="E42" s="458">
        <f t="shared" si="15"/>
        <v>0.72099999999999997</v>
      </c>
      <c r="F42" s="494">
        <f t="shared" si="15"/>
        <v>0.81799999999999995</v>
      </c>
      <c r="G42" s="461">
        <f t="shared" si="15"/>
        <v>2.5819999999999999</v>
      </c>
      <c r="H42" s="458">
        <f t="shared" si="15"/>
        <v>0.81499999999999995</v>
      </c>
      <c r="I42" s="458">
        <f t="shared" si="15"/>
        <v>0.76200000000000001</v>
      </c>
      <c r="J42" s="458">
        <f t="shared" si="15"/>
        <v>0.67500000000000004</v>
      </c>
      <c r="K42" s="494">
        <f t="shared" si="15"/>
        <v>0.77200000000000002</v>
      </c>
      <c r="L42" s="461">
        <f t="shared" si="15"/>
        <v>2.536</v>
      </c>
      <c r="M42" s="458">
        <f t="shared" si="15"/>
        <v>0.76900000000000002</v>
      </c>
      <c r="N42" s="458">
        <f t="shared" si="15"/>
        <v>0.71599999999999997</v>
      </c>
      <c r="O42" s="458">
        <f t="shared" si="15"/>
        <v>0.63</v>
      </c>
      <c r="P42" s="494">
        <f t="shared" si="15"/>
        <v>0.72699999999999998</v>
      </c>
      <c r="Q42" s="461">
        <f t="shared" si="15"/>
        <v>2.4900000000000002</v>
      </c>
      <c r="R42" s="98"/>
    </row>
    <row r="43" spans="1:20" s="16" customFormat="1" x14ac:dyDescent="0.25">
      <c r="A43" s="397" t="s">
        <v>138</v>
      </c>
      <c r="B43" s="401" t="s">
        <v>102</v>
      </c>
      <c r="C43" s="384">
        <f t="shared" ref="C43:Q43" si="16">ROUND(SUM(C44:C46),3)</f>
        <v>25.081</v>
      </c>
      <c r="D43" s="384">
        <f t="shared" si="16"/>
        <v>25.050999999999998</v>
      </c>
      <c r="E43" s="384">
        <f t="shared" si="16"/>
        <v>25.09</v>
      </c>
      <c r="F43" s="384">
        <f t="shared" si="16"/>
        <v>25.024999999999999</v>
      </c>
      <c r="G43" s="265">
        <f t="shared" si="16"/>
        <v>100.247</v>
      </c>
      <c r="H43" s="384">
        <f t="shared" si="16"/>
        <v>25.081</v>
      </c>
      <c r="I43" s="384">
        <f t="shared" si="16"/>
        <v>25.050999999999998</v>
      </c>
      <c r="J43" s="384">
        <f t="shared" si="16"/>
        <v>25.09</v>
      </c>
      <c r="K43" s="384">
        <f t="shared" si="16"/>
        <v>25.024999999999999</v>
      </c>
      <c r="L43" s="265">
        <f t="shared" si="16"/>
        <v>100.247</v>
      </c>
      <c r="M43" s="384">
        <f t="shared" si="16"/>
        <v>25.081</v>
      </c>
      <c r="N43" s="384">
        <f t="shared" si="16"/>
        <v>25.050999999999998</v>
      </c>
      <c r="O43" s="384">
        <f t="shared" si="16"/>
        <v>25.09</v>
      </c>
      <c r="P43" s="384">
        <f t="shared" si="16"/>
        <v>25.024999999999999</v>
      </c>
      <c r="Q43" s="265">
        <f t="shared" si="16"/>
        <v>100.247</v>
      </c>
    </row>
    <row r="44" spans="1:20" s="14" customFormat="1" ht="15" customHeight="1" outlineLevel="1" x14ac:dyDescent="0.25">
      <c r="A44" s="255" t="s">
        <v>114</v>
      </c>
      <c r="B44" s="246" t="s">
        <v>102</v>
      </c>
      <c r="C44" s="262">
        <f t="shared" ref="C44:Q44" si="17">ROUND(C48+C64,3)</f>
        <v>19.899999999999999</v>
      </c>
      <c r="D44" s="262">
        <f t="shared" si="17"/>
        <v>19.899999999999999</v>
      </c>
      <c r="E44" s="262">
        <f t="shared" si="17"/>
        <v>19.899999999999999</v>
      </c>
      <c r="F44" s="262">
        <f t="shared" si="17"/>
        <v>19.88</v>
      </c>
      <c r="G44" s="388">
        <f t="shared" si="17"/>
        <v>79.58</v>
      </c>
      <c r="H44" s="262">
        <f t="shared" si="17"/>
        <v>19.899999999999999</v>
      </c>
      <c r="I44" s="262">
        <f t="shared" si="17"/>
        <v>19.899999999999999</v>
      </c>
      <c r="J44" s="262">
        <f t="shared" si="17"/>
        <v>19.899999999999999</v>
      </c>
      <c r="K44" s="262">
        <f t="shared" si="17"/>
        <v>19.88</v>
      </c>
      <c r="L44" s="388">
        <f t="shared" si="17"/>
        <v>79.58</v>
      </c>
      <c r="M44" s="262">
        <f t="shared" si="17"/>
        <v>19.899999999999999</v>
      </c>
      <c r="N44" s="262">
        <f t="shared" si="17"/>
        <v>19.899999999999999</v>
      </c>
      <c r="O44" s="262">
        <f t="shared" si="17"/>
        <v>19.899999999999999</v>
      </c>
      <c r="P44" s="262">
        <f t="shared" si="17"/>
        <v>19.88</v>
      </c>
      <c r="Q44" s="389">
        <f t="shared" si="17"/>
        <v>79.58</v>
      </c>
    </row>
    <row r="45" spans="1:20" s="14" customFormat="1" ht="15" customHeight="1" outlineLevel="1" x14ac:dyDescent="0.25">
      <c r="A45" s="255" t="s">
        <v>89</v>
      </c>
      <c r="B45" s="246" t="s">
        <v>102</v>
      </c>
      <c r="C45" s="262">
        <f t="shared" ref="C45:Q45" si="18">ROUND(C53+C69,3)</f>
        <v>4.6310000000000002</v>
      </c>
      <c r="D45" s="262">
        <f t="shared" si="18"/>
        <v>4.601</v>
      </c>
      <c r="E45" s="262">
        <f t="shared" si="18"/>
        <v>4.6399999999999997</v>
      </c>
      <c r="F45" s="262">
        <f t="shared" si="18"/>
        <v>4.5949999999999998</v>
      </c>
      <c r="G45" s="388">
        <f t="shared" si="18"/>
        <v>18.466999999999999</v>
      </c>
      <c r="H45" s="262">
        <f t="shared" si="18"/>
        <v>4.6310000000000002</v>
      </c>
      <c r="I45" s="262">
        <f t="shared" si="18"/>
        <v>4.601</v>
      </c>
      <c r="J45" s="262">
        <f t="shared" si="18"/>
        <v>4.6399999999999997</v>
      </c>
      <c r="K45" s="262">
        <f t="shared" si="18"/>
        <v>4.5949999999999998</v>
      </c>
      <c r="L45" s="388">
        <f t="shared" si="18"/>
        <v>18.466999999999999</v>
      </c>
      <c r="M45" s="262">
        <f t="shared" si="18"/>
        <v>4.6310000000000002</v>
      </c>
      <c r="N45" s="262">
        <f t="shared" si="18"/>
        <v>4.601</v>
      </c>
      <c r="O45" s="262">
        <f t="shared" si="18"/>
        <v>4.6399999999999997</v>
      </c>
      <c r="P45" s="262">
        <f t="shared" si="18"/>
        <v>4.5949999999999998</v>
      </c>
      <c r="Q45" s="389">
        <f t="shared" si="18"/>
        <v>18.466999999999999</v>
      </c>
    </row>
    <row r="46" spans="1:20" s="14" customFormat="1" ht="15" customHeight="1" outlineLevel="1" x14ac:dyDescent="0.25">
      <c r="A46" s="255" t="s">
        <v>90</v>
      </c>
      <c r="B46" s="246" t="s">
        <v>102</v>
      </c>
      <c r="C46" s="262">
        <f t="shared" ref="C46:Q46" si="19">ROUND(C58+C74,3)</f>
        <v>0.55000000000000004</v>
      </c>
      <c r="D46" s="262">
        <f t="shared" si="19"/>
        <v>0.55000000000000004</v>
      </c>
      <c r="E46" s="262">
        <f t="shared" si="19"/>
        <v>0.55000000000000004</v>
      </c>
      <c r="F46" s="262">
        <f t="shared" si="19"/>
        <v>0.55000000000000004</v>
      </c>
      <c r="G46" s="388">
        <f t="shared" si="19"/>
        <v>2.2000000000000002</v>
      </c>
      <c r="H46" s="262">
        <f t="shared" si="19"/>
        <v>0.55000000000000004</v>
      </c>
      <c r="I46" s="262">
        <f t="shared" si="19"/>
        <v>0.55000000000000004</v>
      </c>
      <c r="J46" s="262">
        <f t="shared" si="19"/>
        <v>0.55000000000000004</v>
      </c>
      <c r="K46" s="262">
        <f t="shared" si="19"/>
        <v>0.55000000000000004</v>
      </c>
      <c r="L46" s="388">
        <f t="shared" si="19"/>
        <v>2.2000000000000002</v>
      </c>
      <c r="M46" s="262">
        <f t="shared" si="19"/>
        <v>0.55000000000000004</v>
      </c>
      <c r="N46" s="262">
        <f t="shared" si="19"/>
        <v>0.55000000000000004</v>
      </c>
      <c r="O46" s="262">
        <f t="shared" si="19"/>
        <v>0.55000000000000004</v>
      </c>
      <c r="P46" s="262">
        <f t="shared" si="19"/>
        <v>0.55000000000000004</v>
      </c>
      <c r="Q46" s="389">
        <f t="shared" si="19"/>
        <v>2.2000000000000002</v>
      </c>
    </row>
    <row r="47" spans="1:20" s="16" customFormat="1" x14ac:dyDescent="0.25">
      <c r="A47" s="397" t="s">
        <v>139</v>
      </c>
      <c r="B47" s="495" t="s">
        <v>102</v>
      </c>
      <c r="C47" s="464">
        <f t="shared" ref="C47:Q47" si="20">ROUND(C48+C53+C58,3)</f>
        <v>25.081</v>
      </c>
      <c r="D47" s="464">
        <f t="shared" si="20"/>
        <v>25.050999999999998</v>
      </c>
      <c r="E47" s="464">
        <f t="shared" si="20"/>
        <v>25.09</v>
      </c>
      <c r="F47" s="465">
        <f t="shared" si="20"/>
        <v>25.024999999999999</v>
      </c>
      <c r="G47" s="455">
        <f t="shared" si="20"/>
        <v>100.247</v>
      </c>
      <c r="H47" s="464">
        <f t="shared" si="20"/>
        <v>25.081</v>
      </c>
      <c r="I47" s="464">
        <f t="shared" si="20"/>
        <v>25.050999999999998</v>
      </c>
      <c r="J47" s="464">
        <f t="shared" si="20"/>
        <v>25.09</v>
      </c>
      <c r="K47" s="465">
        <f t="shared" si="20"/>
        <v>25.024999999999999</v>
      </c>
      <c r="L47" s="455">
        <f t="shared" si="20"/>
        <v>100.247</v>
      </c>
      <c r="M47" s="464">
        <f t="shared" si="20"/>
        <v>25.081</v>
      </c>
      <c r="N47" s="464">
        <f t="shared" si="20"/>
        <v>25.050999999999998</v>
      </c>
      <c r="O47" s="464">
        <f t="shared" si="20"/>
        <v>25.09</v>
      </c>
      <c r="P47" s="465">
        <f t="shared" si="20"/>
        <v>25.024999999999999</v>
      </c>
      <c r="Q47" s="455">
        <f t="shared" si="20"/>
        <v>100.247</v>
      </c>
      <c r="R47" s="99"/>
    </row>
    <row r="48" spans="1:20" ht="14.65" customHeight="1" outlineLevel="1" collapsed="1" x14ac:dyDescent="0.25">
      <c r="A48" s="496" t="s">
        <v>94</v>
      </c>
      <c r="B48" s="479" t="s">
        <v>102</v>
      </c>
      <c r="C48" s="467">
        <f t="shared" ref="C48:Q48" si="21">ROUND(C49+C50-C51+C52,3)</f>
        <v>19.899999999999999</v>
      </c>
      <c r="D48" s="480">
        <f t="shared" si="21"/>
        <v>19.899999999999999</v>
      </c>
      <c r="E48" s="480">
        <f t="shared" si="21"/>
        <v>19.899999999999999</v>
      </c>
      <c r="F48" s="481">
        <f t="shared" si="21"/>
        <v>19.88</v>
      </c>
      <c r="G48" s="461">
        <f t="shared" si="21"/>
        <v>79.58</v>
      </c>
      <c r="H48" s="467">
        <f t="shared" si="21"/>
        <v>19.899999999999999</v>
      </c>
      <c r="I48" s="480">
        <f t="shared" si="21"/>
        <v>19.899999999999999</v>
      </c>
      <c r="J48" s="480">
        <f t="shared" si="21"/>
        <v>19.899999999999999</v>
      </c>
      <c r="K48" s="481">
        <f t="shared" si="21"/>
        <v>19.88</v>
      </c>
      <c r="L48" s="461">
        <f t="shared" si="21"/>
        <v>79.58</v>
      </c>
      <c r="M48" s="467">
        <f t="shared" si="21"/>
        <v>19.899999999999999</v>
      </c>
      <c r="N48" s="480">
        <f t="shared" si="21"/>
        <v>19.899999999999999</v>
      </c>
      <c r="O48" s="480">
        <f t="shared" si="21"/>
        <v>19.899999999999999</v>
      </c>
      <c r="P48" s="481">
        <f t="shared" si="21"/>
        <v>19.88</v>
      </c>
      <c r="Q48" s="461">
        <f t="shared" si="21"/>
        <v>79.58</v>
      </c>
    </row>
    <row r="49" spans="1:18" s="15" customFormat="1" ht="28.5" hidden="1" customHeight="1" outlineLevel="3" x14ac:dyDescent="0.25">
      <c r="A49" s="497" t="s">
        <v>49</v>
      </c>
      <c r="B49" s="483" t="s">
        <v>102</v>
      </c>
      <c r="C49" s="474">
        <f>ROUND('1.Статистика'!N51,3)</f>
        <v>19.55</v>
      </c>
      <c r="D49" s="474">
        <f>ROUND('1.Статистика'!O51,3)</f>
        <v>19.600000000000001</v>
      </c>
      <c r="E49" s="474">
        <f>ROUND('1.Статистика'!P51,3)</f>
        <v>19.55</v>
      </c>
      <c r="F49" s="475">
        <f>ROUND('1.Статистика'!Q51,3)</f>
        <v>19.55</v>
      </c>
      <c r="G49" s="473">
        <f>ROUND(SUM(C49:F49),3)</f>
        <v>78.25</v>
      </c>
      <c r="H49" s="474">
        <f>ROUND(C48,3)</f>
        <v>19.899999999999999</v>
      </c>
      <c r="I49" s="484">
        <f>ROUND(D48,3)</f>
        <v>19.899999999999999</v>
      </c>
      <c r="J49" s="484">
        <f>ROUND(E48,3)</f>
        <v>19.899999999999999</v>
      </c>
      <c r="K49" s="485">
        <f>ROUND(F48,3)</f>
        <v>19.88</v>
      </c>
      <c r="L49" s="473">
        <f>ROUND(SUM(H49:K49),3)</f>
        <v>79.58</v>
      </c>
      <c r="M49" s="474">
        <f>ROUND(H48,3)</f>
        <v>19.899999999999999</v>
      </c>
      <c r="N49" s="484">
        <f>ROUND(I48,3)</f>
        <v>19.899999999999999</v>
      </c>
      <c r="O49" s="484">
        <f>ROUND(J48,3)</f>
        <v>19.899999999999999</v>
      </c>
      <c r="P49" s="485">
        <f>ROUND(K48,3)</f>
        <v>19.88</v>
      </c>
      <c r="Q49" s="473">
        <f>ROUND(SUM(M49:P49),3)</f>
        <v>79.58</v>
      </c>
      <c r="R49" s="100"/>
    </row>
    <row r="50" spans="1:18" s="15" customFormat="1" ht="28.5" hidden="1" customHeight="1" outlineLevel="3" x14ac:dyDescent="0.25">
      <c r="A50" s="497" t="s">
        <v>50</v>
      </c>
      <c r="B50" s="483" t="s">
        <v>102</v>
      </c>
      <c r="C50" s="474">
        <f>ROUND('1.Статистика'!D17,3)</f>
        <v>0</v>
      </c>
      <c r="D50" s="484">
        <f>ROUND('1.Статистика'!E17,3)</f>
        <v>0</v>
      </c>
      <c r="E50" s="484">
        <f>ROUND('1.Статистика'!F17,3)</f>
        <v>0</v>
      </c>
      <c r="F50" s="485">
        <f>ROUND('1.Статистика'!G17,3)</f>
        <v>0</v>
      </c>
      <c r="G50" s="473">
        <f>ROUND(SUM(C50:F50),3)</f>
        <v>0</v>
      </c>
      <c r="H50" s="474">
        <f>ROUND('1.Статистика'!I17,3)</f>
        <v>0</v>
      </c>
      <c r="I50" s="484">
        <f>ROUND('1.Статистика'!J17,3)</f>
        <v>0</v>
      </c>
      <c r="J50" s="484">
        <f>ROUND('1.Статистика'!K17,3)</f>
        <v>0</v>
      </c>
      <c r="K50" s="485">
        <f>ROUND('1.Статистика'!L17,3)</f>
        <v>0</v>
      </c>
      <c r="L50" s="473">
        <f>ROUND(SUM(H50:K50),3)</f>
        <v>0</v>
      </c>
      <c r="M50" s="474">
        <f>ROUND('1.Статистика'!N17,3)</f>
        <v>0</v>
      </c>
      <c r="N50" s="484">
        <f>ROUND('1.Статистика'!O17,3)</f>
        <v>0</v>
      </c>
      <c r="O50" s="484">
        <f>ROUND('1.Статистика'!P17,3)</f>
        <v>0</v>
      </c>
      <c r="P50" s="485">
        <f>ROUND('1.Статистика'!Q17,3)</f>
        <v>0</v>
      </c>
      <c r="Q50" s="473">
        <f>ROUND(SUM(M50:P50),3)</f>
        <v>0</v>
      </c>
      <c r="R50" s="100"/>
    </row>
    <row r="51" spans="1:18" s="15" customFormat="1" ht="28.5" hidden="1" customHeight="1" outlineLevel="3" x14ac:dyDescent="0.25">
      <c r="A51" s="497" t="s">
        <v>51</v>
      </c>
      <c r="B51" s="483" t="s">
        <v>102</v>
      </c>
      <c r="C51" s="498">
        <f>ROUND('2. Прогноз. Без корректировки'!C51,3)</f>
        <v>0</v>
      </c>
      <c r="D51" s="498">
        <f>ROUND('2. Прогноз. Без корректировки'!D51,3)</f>
        <v>0</v>
      </c>
      <c r="E51" s="498">
        <f>ROUND('2. Прогноз. Без корректировки'!E51,3)</f>
        <v>0</v>
      </c>
      <c r="F51" s="499">
        <f>ROUND('2. Прогноз. Без корректировки'!F51,3)</f>
        <v>0</v>
      </c>
      <c r="G51" s="473">
        <f>ROUND(SUM(C51:F51),3)</f>
        <v>0</v>
      </c>
      <c r="H51" s="498">
        <f>ROUND('2. Прогноз. Без корректировки'!H51,3)</f>
        <v>0</v>
      </c>
      <c r="I51" s="498">
        <f>ROUND('2. Прогноз. Без корректировки'!I51,3)</f>
        <v>0</v>
      </c>
      <c r="J51" s="498">
        <f>ROUND('2. Прогноз. Без корректировки'!J51,3)</f>
        <v>0</v>
      </c>
      <c r="K51" s="499">
        <f>ROUND('2. Прогноз. Без корректировки'!K51,3)</f>
        <v>0</v>
      </c>
      <c r="L51" s="473">
        <f>ROUND(SUM(H51:K51),3)</f>
        <v>0</v>
      </c>
      <c r="M51" s="498">
        <f>ROUND('2. Прогноз. Без корректировки'!M51,3)</f>
        <v>0</v>
      </c>
      <c r="N51" s="498">
        <f>ROUND('2. Прогноз. Без корректировки'!N51,3)</f>
        <v>0</v>
      </c>
      <c r="O51" s="498">
        <f>ROUND('2. Прогноз. Без корректировки'!O51,3)</f>
        <v>0</v>
      </c>
      <c r="P51" s="499">
        <f>ROUND('2. Прогноз. Без корректировки'!P51,3)</f>
        <v>0</v>
      </c>
      <c r="Q51" s="473">
        <f>ROUND(SUM(M51:P51),3)</f>
        <v>0</v>
      </c>
      <c r="R51" s="100"/>
    </row>
    <row r="52" spans="1:18" s="15" customFormat="1" ht="28.5" hidden="1" customHeight="1" outlineLevel="3" x14ac:dyDescent="0.25">
      <c r="A52" s="497" t="s">
        <v>52</v>
      </c>
      <c r="B52" s="483" t="s">
        <v>102</v>
      </c>
      <c r="C52" s="486">
        <f>ROUND('2. Прогноз. Без корректировки'!C52,3)</f>
        <v>0.35</v>
      </c>
      <c r="D52" s="486">
        <f>ROUND('2. Прогноз. Без корректировки'!D52,3)</f>
        <v>0.3</v>
      </c>
      <c r="E52" s="486">
        <f>ROUND('2. Прогноз. Без корректировки'!E52,3)</f>
        <v>0.35</v>
      </c>
      <c r="F52" s="487">
        <f>ROUND('2. Прогноз. Без корректировки'!F52,3)</f>
        <v>0.33</v>
      </c>
      <c r="G52" s="473">
        <f>ROUND(SUM(C52:F52),3)</f>
        <v>1.33</v>
      </c>
      <c r="H52" s="486">
        <f>ROUND('2. Прогноз. Без корректировки'!H52,3)</f>
        <v>0</v>
      </c>
      <c r="I52" s="486">
        <f>ROUND('2. Прогноз. Без корректировки'!I52,3)</f>
        <v>0</v>
      </c>
      <c r="J52" s="486">
        <f>ROUND('2. Прогноз. Без корректировки'!J52,3)</f>
        <v>0</v>
      </c>
      <c r="K52" s="487">
        <f>ROUND('2. Прогноз. Без корректировки'!K52,3)</f>
        <v>0</v>
      </c>
      <c r="L52" s="473">
        <f>ROUND(SUM(H52:K52),3)</f>
        <v>0</v>
      </c>
      <c r="M52" s="486">
        <f>ROUND('2. Прогноз. Без корректировки'!M52,3)</f>
        <v>0</v>
      </c>
      <c r="N52" s="486">
        <f>ROUND('2. Прогноз. Без корректировки'!N52,3)</f>
        <v>0</v>
      </c>
      <c r="O52" s="486">
        <f>ROUND('2. Прогноз. Без корректировки'!O52,3)</f>
        <v>0</v>
      </c>
      <c r="P52" s="487">
        <f>ROUND('2. Прогноз. Без корректировки'!P52,3)</f>
        <v>0</v>
      </c>
      <c r="Q52" s="473">
        <f>ROUND(SUM(M52:P52),3)</f>
        <v>0</v>
      </c>
      <c r="R52" s="100"/>
    </row>
    <row r="53" spans="1:18" ht="14.65" customHeight="1" outlineLevel="1" collapsed="1" x14ac:dyDescent="0.25">
      <c r="A53" s="496" t="s">
        <v>89</v>
      </c>
      <c r="B53" s="479" t="s">
        <v>102</v>
      </c>
      <c r="C53" s="467">
        <f t="shared" ref="C53:Q53" si="22">ROUND(C54+C55-C56+C57,3)</f>
        <v>4.6310000000000002</v>
      </c>
      <c r="D53" s="480">
        <f t="shared" si="22"/>
        <v>4.601</v>
      </c>
      <c r="E53" s="480">
        <f t="shared" si="22"/>
        <v>4.6399999999999997</v>
      </c>
      <c r="F53" s="481">
        <f t="shared" si="22"/>
        <v>4.5949999999999998</v>
      </c>
      <c r="G53" s="461">
        <f t="shared" si="22"/>
        <v>18.466999999999999</v>
      </c>
      <c r="H53" s="467">
        <f t="shared" si="22"/>
        <v>4.6310000000000002</v>
      </c>
      <c r="I53" s="480">
        <f t="shared" si="22"/>
        <v>4.601</v>
      </c>
      <c r="J53" s="480">
        <f t="shared" si="22"/>
        <v>4.6399999999999997</v>
      </c>
      <c r="K53" s="481">
        <f t="shared" si="22"/>
        <v>4.5949999999999998</v>
      </c>
      <c r="L53" s="461">
        <f t="shared" si="22"/>
        <v>18.466999999999999</v>
      </c>
      <c r="M53" s="467">
        <f t="shared" si="22"/>
        <v>4.6310000000000002</v>
      </c>
      <c r="N53" s="480">
        <f t="shared" si="22"/>
        <v>4.601</v>
      </c>
      <c r="O53" s="480">
        <f t="shared" si="22"/>
        <v>4.6399999999999997</v>
      </c>
      <c r="P53" s="481">
        <f t="shared" si="22"/>
        <v>4.5949999999999998</v>
      </c>
      <c r="Q53" s="461">
        <f t="shared" si="22"/>
        <v>18.466999999999999</v>
      </c>
    </row>
    <row r="54" spans="1:18" s="15" customFormat="1" ht="28.5" hidden="1" customHeight="1" outlineLevel="3" x14ac:dyDescent="0.25">
      <c r="A54" s="497" t="s">
        <v>49</v>
      </c>
      <c r="B54" s="483" t="s">
        <v>102</v>
      </c>
      <c r="C54" s="474">
        <f>ROUND('1.Статистика'!N52,3)</f>
        <v>4.6310000000000002</v>
      </c>
      <c r="D54" s="474">
        <f>ROUND('1.Статистика'!O52,3)</f>
        <v>4.601</v>
      </c>
      <c r="E54" s="474">
        <f>ROUND('1.Статистика'!P52,3)</f>
        <v>4.6399999999999997</v>
      </c>
      <c r="F54" s="475">
        <f>ROUND('1.Статистика'!Q52,3)</f>
        <v>4.5949999999999998</v>
      </c>
      <c r="G54" s="473">
        <f>ROUND(SUM(C54:F54),3)</f>
        <v>18.466999999999999</v>
      </c>
      <c r="H54" s="474">
        <f>ROUND(C53,3)</f>
        <v>4.6310000000000002</v>
      </c>
      <c r="I54" s="484">
        <f>ROUND(D53,3)</f>
        <v>4.601</v>
      </c>
      <c r="J54" s="484">
        <f>ROUND(E53,3)</f>
        <v>4.6399999999999997</v>
      </c>
      <c r="K54" s="485">
        <f>ROUND(F53,3)</f>
        <v>4.5949999999999998</v>
      </c>
      <c r="L54" s="473">
        <f>ROUND(SUM(H54:K54),3)</f>
        <v>18.466999999999999</v>
      </c>
      <c r="M54" s="474">
        <f>ROUND(H53,3)</f>
        <v>4.6310000000000002</v>
      </c>
      <c r="N54" s="484">
        <f>ROUND(I53,3)</f>
        <v>4.601</v>
      </c>
      <c r="O54" s="484">
        <f>ROUND(J53,3)</f>
        <v>4.6399999999999997</v>
      </c>
      <c r="P54" s="485">
        <f>ROUND(K53,3)</f>
        <v>4.5949999999999998</v>
      </c>
      <c r="Q54" s="473">
        <f>ROUND(SUM(M54:P54),3)</f>
        <v>18.466999999999999</v>
      </c>
      <c r="R54" s="100"/>
    </row>
    <row r="55" spans="1:18" s="15" customFormat="1" ht="28.5" hidden="1" customHeight="1" outlineLevel="3" x14ac:dyDescent="0.25">
      <c r="A55" s="497" t="s">
        <v>50</v>
      </c>
      <c r="B55" s="483" t="s">
        <v>102</v>
      </c>
      <c r="C55" s="474">
        <f>ROUND('1.Статистика'!D18,3)</f>
        <v>0</v>
      </c>
      <c r="D55" s="484">
        <f>ROUND('1.Статистика'!E18,3)</f>
        <v>0</v>
      </c>
      <c r="E55" s="484">
        <f>ROUND('1.Статистика'!F18,3)</f>
        <v>0</v>
      </c>
      <c r="F55" s="485">
        <f>ROUND('1.Статистика'!G18,3)</f>
        <v>0</v>
      </c>
      <c r="G55" s="473">
        <f>ROUND(SUM(C55:F55),3)</f>
        <v>0</v>
      </c>
      <c r="H55" s="474">
        <f>ROUND('1.Статистика'!I18,3)</f>
        <v>0</v>
      </c>
      <c r="I55" s="484">
        <f>ROUND('1.Статистика'!J18,3)</f>
        <v>0</v>
      </c>
      <c r="J55" s="484">
        <f>ROUND('1.Статистика'!K18,3)</f>
        <v>0</v>
      </c>
      <c r="K55" s="485">
        <f>ROUND('1.Статистика'!L18,3)</f>
        <v>0</v>
      </c>
      <c r="L55" s="473">
        <f>ROUND(SUM(H55:K55),3)</f>
        <v>0</v>
      </c>
      <c r="M55" s="474">
        <f>ROUND('1.Статистика'!N18,3)</f>
        <v>0</v>
      </c>
      <c r="N55" s="484">
        <f>ROUND('1.Статистика'!O18,3)</f>
        <v>0</v>
      </c>
      <c r="O55" s="484">
        <f>ROUND('1.Статистика'!P18,3)</f>
        <v>0</v>
      </c>
      <c r="P55" s="485">
        <f>ROUND('1.Статистика'!Q18,3)</f>
        <v>0</v>
      </c>
      <c r="Q55" s="473">
        <f>ROUND(SUM(M55:P55),3)</f>
        <v>0</v>
      </c>
      <c r="R55" s="100"/>
    </row>
    <row r="56" spans="1:18" s="15" customFormat="1" ht="28.5" hidden="1" customHeight="1" outlineLevel="3" x14ac:dyDescent="0.25">
      <c r="A56" s="497" t="s">
        <v>51</v>
      </c>
      <c r="B56" s="483" t="s">
        <v>102</v>
      </c>
      <c r="C56" s="498">
        <f>ROUND('2. Прогноз. Без корректировки'!C56,3)</f>
        <v>0</v>
      </c>
      <c r="D56" s="498">
        <f>ROUND('2. Прогноз. Без корректировки'!D56,3)</f>
        <v>0</v>
      </c>
      <c r="E56" s="498">
        <f>ROUND('2. Прогноз. Без корректировки'!E56,3)</f>
        <v>0</v>
      </c>
      <c r="F56" s="499">
        <f>ROUND('2. Прогноз. Без корректировки'!F56,3)</f>
        <v>0</v>
      </c>
      <c r="G56" s="473">
        <f>ROUND(SUM(C56:F56),3)</f>
        <v>0</v>
      </c>
      <c r="H56" s="498">
        <f>ROUND('2. Прогноз. Без корректировки'!H56,3)</f>
        <v>0</v>
      </c>
      <c r="I56" s="498">
        <f>ROUND('2. Прогноз. Без корректировки'!I56,3)</f>
        <v>0</v>
      </c>
      <c r="J56" s="498">
        <f>ROUND('2. Прогноз. Без корректировки'!J56,3)</f>
        <v>0</v>
      </c>
      <c r="K56" s="499">
        <f>ROUND('2. Прогноз. Без корректировки'!K56,3)</f>
        <v>0</v>
      </c>
      <c r="L56" s="473">
        <f>ROUND(SUM(H56:K56),3)</f>
        <v>0</v>
      </c>
      <c r="M56" s="498">
        <f>ROUND('2. Прогноз. Без корректировки'!M56,3)</f>
        <v>0</v>
      </c>
      <c r="N56" s="498">
        <f>ROUND('2. Прогноз. Без корректировки'!N56,3)</f>
        <v>0</v>
      </c>
      <c r="O56" s="498">
        <f>ROUND('2. Прогноз. Без корректировки'!O56,3)</f>
        <v>0</v>
      </c>
      <c r="P56" s="499">
        <f>ROUND('2. Прогноз. Без корректировки'!P56,3)</f>
        <v>0</v>
      </c>
      <c r="Q56" s="473">
        <f>ROUND(SUM(M56:P56),3)</f>
        <v>0</v>
      </c>
      <c r="R56" s="100"/>
    </row>
    <row r="57" spans="1:18" s="15" customFormat="1" ht="28.5" hidden="1" customHeight="1" outlineLevel="3" x14ac:dyDescent="0.25">
      <c r="A57" s="497" t="s">
        <v>52</v>
      </c>
      <c r="B57" s="483" t="s">
        <v>102</v>
      </c>
      <c r="C57" s="486">
        <f>ROUND('2. Прогноз. Без корректировки'!C57,3)</f>
        <v>0</v>
      </c>
      <c r="D57" s="486">
        <f>ROUND('2. Прогноз. Без корректировки'!D57,3)</f>
        <v>0</v>
      </c>
      <c r="E57" s="486">
        <f>ROUND('2. Прогноз. Без корректировки'!E57,3)</f>
        <v>0</v>
      </c>
      <c r="F57" s="487">
        <f>ROUND('2. Прогноз. Без корректировки'!F57,3)</f>
        <v>0</v>
      </c>
      <c r="G57" s="473">
        <f>ROUND(SUM(C57:F57),3)</f>
        <v>0</v>
      </c>
      <c r="H57" s="486">
        <f>ROUND('2. Прогноз. Без корректировки'!H57,3)</f>
        <v>0</v>
      </c>
      <c r="I57" s="486">
        <f>ROUND('2. Прогноз. Без корректировки'!I57,3)</f>
        <v>0</v>
      </c>
      <c r="J57" s="486">
        <f>ROUND('2. Прогноз. Без корректировки'!J57,3)</f>
        <v>0</v>
      </c>
      <c r="K57" s="487">
        <f>ROUND('2. Прогноз. Без корректировки'!K57,3)</f>
        <v>0</v>
      </c>
      <c r="L57" s="473">
        <f>ROUND(SUM(H57:K57),3)</f>
        <v>0</v>
      </c>
      <c r="M57" s="486">
        <f>ROUND('2. Прогноз. Без корректировки'!M57,3)</f>
        <v>0</v>
      </c>
      <c r="N57" s="486">
        <f>ROUND('2. Прогноз. Без корректировки'!N57,3)</f>
        <v>0</v>
      </c>
      <c r="O57" s="486">
        <f>ROUND('2. Прогноз. Без корректировки'!O57,3)</f>
        <v>0</v>
      </c>
      <c r="P57" s="487">
        <f>ROUND('2. Прогноз. Без корректировки'!P57,3)</f>
        <v>0</v>
      </c>
      <c r="Q57" s="473">
        <f>ROUND(SUM(M57:P57),3)</f>
        <v>0</v>
      </c>
      <c r="R57" s="100"/>
    </row>
    <row r="58" spans="1:18" ht="14.65" customHeight="1" outlineLevel="1" collapsed="1" x14ac:dyDescent="0.25">
      <c r="A58" s="496" t="s">
        <v>90</v>
      </c>
      <c r="B58" s="479" t="s">
        <v>102</v>
      </c>
      <c r="C58" s="467">
        <f t="shared" ref="C58:Q58" si="23">ROUND(C59+C60-C61+C62,3)</f>
        <v>0.55000000000000004</v>
      </c>
      <c r="D58" s="480">
        <f t="shared" si="23"/>
        <v>0.55000000000000004</v>
      </c>
      <c r="E58" s="480">
        <f t="shared" si="23"/>
        <v>0.55000000000000004</v>
      </c>
      <c r="F58" s="481">
        <f t="shared" si="23"/>
        <v>0.55000000000000004</v>
      </c>
      <c r="G58" s="461">
        <f t="shared" si="23"/>
        <v>2.2000000000000002</v>
      </c>
      <c r="H58" s="467">
        <f t="shared" si="23"/>
        <v>0.55000000000000004</v>
      </c>
      <c r="I58" s="480">
        <f t="shared" si="23"/>
        <v>0.55000000000000004</v>
      </c>
      <c r="J58" s="480">
        <f t="shared" si="23"/>
        <v>0.55000000000000004</v>
      </c>
      <c r="K58" s="481">
        <f t="shared" si="23"/>
        <v>0.55000000000000004</v>
      </c>
      <c r="L58" s="461">
        <f t="shared" si="23"/>
        <v>2.2000000000000002</v>
      </c>
      <c r="M58" s="467">
        <f t="shared" si="23"/>
        <v>0.55000000000000004</v>
      </c>
      <c r="N58" s="480">
        <f t="shared" si="23"/>
        <v>0.55000000000000004</v>
      </c>
      <c r="O58" s="480">
        <f t="shared" si="23"/>
        <v>0.55000000000000004</v>
      </c>
      <c r="P58" s="481">
        <f t="shared" si="23"/>
        <v>0.55000000000000004</v>
      </c>
      <c r="Q58" s="461">
        <f t="shared" si="23"/>
        <v>2.2000000000000002</v>
      </c>
    </row>
    <row r="59" spans="1:18" s="15" customFormat="1" ht="28.5" hidden="1" customHeight="1" outlineLevel="3" x14ac:dyDescent="0.25">
      <c r="A59" s="497" t="s">
        <v>49</v>
      </c>
      <c r="B59" s="483" t="s">
        <v>102</v>
      </c>
      <c r="C59" s="474">
        <f>ROUND('1.Статистика'!N53,3)</f>
        <v>0.55000000000000004</v>
      </c>
      <c r="D59" s="474">
        <f>ROUND('1.Статистика'!O53,3)</f>
        <v>0.55000000000000004</v>
      </c>
      <c r="E59" s="474">
        <f>ROUND('1.Статистика'!P53,3)</f>
        <v>0.55000000000000004</v>
      </c>
      <c r="F59" s="475">
        <f>ROUND('1.Статистика'!Q53,3)</f>
        <v>0.55000000000000004</v>
      </c>
      <c r="G59" s="473">
        <f>ROUND(SUM(C59:F59),3)</f>
        <v>2.2000000000000002</v>
      </c>
      <c r="H59" s="474">
        <f>ROUND(C58,3)</f>
        <v>0.55000000000000004</v>
      </c>
      <c r="I59" s="484">
        <f>ROUND(D58,3)</f>
        <v>0.55000000000000004</v>
      </c>
      <c r="J59" s="484">
        <f>ROUND(E58,3)</f>
        <v>0.55000000000000004</v>
      </c>
      <c r="K59" s="485">
        <f>ROUND(F58,3)</f>
        <v>0.55000000000000004</v>
      </c>
      <c r="L59" s="473">
        <f>ROUND(SUM(H59:K59),3)</f>
        <v>2.2000000000000002</v>
      </c>
      <c r="M59" s="474">
        <f>ROUND(H58,3)</f>
        <v>0.55000000000000004</v>
      </c>
      <c r="N59" s="484">
        <f>ROUND(I58,3)</f>
        <v>0.55000000000000004</v>
      </c>
      <c r="O59" s="484">
        <f>ROUND(J58,3)</f>
        <v>0.55000000000000004</v>
      </c>
      <c r="P59" s="485">
        <f>ROUND(K58,3)</f>
        <v>0.55000000000000004</v>
      </c>
      <c r="Q59" s="473">
        <f>ROUND(SUM(M59:P59),3)</f>
        <v>2.2000000000000002</v>
      </c>
      <c r="R59" s="100"/>
    </row>
    <row r="60" spans="1:18" s="15" customFormat="1" ht="28.5" hidden="1" customHeight="1" outlineLevel="3" x14ac:dyDescent="0.25">
      <c r="A60" s="497" t="s">
        <v>50</v>
      </c>
      <c r="B60" s="483" t="s">
        <v>102</v>
      </c>
      <c r="C60" s="474">
        <f>ROUND('1.Статистика'!D19,3)</f>
        <v>0</v>
      </c>
      <c r="D60" s="484">
        <f>ROUND('1.Статистика'!E19,3)</f>
        <v>0</v>
      </c>
      <c r="E60" s="484">
        <f>ROUND('1.Статистика'!F19,3)</f>
        <v>0</v>
      </c>
      <c r="F60" s="485">
        <f>ROUND('1.Статистика'!G19,3)</f>
        <v>0</v>
      </c>
      <c r="G60" s="473">
        <f>ROUND(SUM(C60:F60),3)</f>
        <v>0</v>
      </c>
      <c r="H60" s="474">
        <f>ROUND('1.Статистика'!I19,3)</f>
        <v>0</v>
      </c>
      <c r="I60" s="484">
        <f>ROUND('1.Статистика'!J19,3)</f>
        <v>0</v>
      </c>
      <c r="J60" s="484">
        <f>ROUND('1.Статистика'!K19,3)</f>
        <v>0</v>
      </c>
      <c r="K60" s="485">
        <f>ROUND('1.Статистика'!L19,3)</f>
        <v>0</v>
      </c>
      <c r="L60" s="473">
        <f>ROUND(SUM(H60:K60),3)</f>
        <v>0</v>
      </c>
      <c r="M60" s="474">
        <f>ROUND('1.Статистика'!N19,3)</f>
        <v>0</v>
      </c>
      <c r="N60" s="484">
        <f>ROUND('1.Статистика'!O19,3)</f>
        <v>0</v>
      </c>
      <c r="O60" s="484">
        <f>ROUND('1.Статистика'!P19,3)</f>
        <v>0</v>
      </c>
      <c r="P60" s="485">
        <f>ROUND('1.Статистика'!Q19,3)</f>
        <v>0</v>
      </c>
      <c r="Q60" s="473">
        <f>ROUND(SUM(M60:P60),3)</f>
        <v>0</v>
      </c>
      <c r="R60" s="100"/>
    </row>
    <row r="61" spans="1:18" s="15" customFormat="1" ht="28.5" hidden="1" customHeight="1" outlineLevel="3" x14ac:dyDescent="0.25">
      <c r="A61" s="497" t="s">
        <v>51</v>
      </c>
      <c r="B61" s="483" t="s">
        <v>102</v>
      </c>
      <c r="C61" s="498">
        <f>ROUND('2. Прогноз. Без корректировки'!C61,3)</f>
        <v>0</v>
      </c>
      <c r="D61" s="498">
        <f>ROUND('2. Прогноз. Без корректировки'!D61,3)</f>
        <v>0</v>
      </c>
      <c r="E61" s="498">
        <f>ROUND('2. Прогноз. Без корректировки'!E61,3)</f>
        <v>0</v>
      </c>
      <c r="F61" s="499">
        <f>ROUND('2. Прогноз. Без корректировки'!F61,3)</f>
        <v>0</v>
      </c>
      <c r="G61" s="473">
        <f>ROUND(SUM(C61:F61),3)</f>
        <v>0</v>
      </c>
      <c r="H61" s="498">
        <f>ROUND('2. Прогноз. Без корректировки'!H61,3)</f>
        <v>0</v>
      </c>
      <c r="I61" s="498">
        <f>ROUND('2. Прогноз. Без корректировки'!I61,3)</f>
        <v>0</v>
      </c>
      <c r="J61" s="498">
        <f>ROUND('2. Прогноз. Без корректировки'!J61,3)</f>
        <v>0</v>
      </c>
      <c r="K61" s="499">
        <f>ROUND('2. Прогноз. Без корректировки'!K61,3)</f>
        <v>0</v>
      </c>
      <c r="L61" s="473">
        <f>ROUND(SUM(H61:K61),3)</f>
        <v>0</v>
      </c>
      <c r="M61" s="498">
        <f>ROUND('2. Прогноз. Без корректировки'!M61,3)</f>
        <v>0</v>
      </c>
      <c r="N61" s="498">
        <f>ROUND('2. Прогноз. Без корректировки'!N61,3)</f>
        <v>0</v>
      </c>
      <c r="O61" s="498">
        <f>ROUND('2. Прогноз. Без корректировки'!O61,3)</f>
        <v>0</v>
      </c>
      <c r="P61" s="499">
        <f>ROUND('2. Прогноз. Без корректировки'!P61,3)</f>
        <v>0</v>
      </c>
      <c r="Q61" s="473">
        <f>ROUND(SUM(M61:P61),3)</f>
        <v>0</v>
      </c>
      <c r="R61" s="100"/>
    </row>
    <row r="62" spans="1:18" s="15" customFormat="1" ht="28.5" hidden="1" customHeight="1" outlineLevel="3" x14ac:dyDescent="0.25">
      <c r="A62" s="497" t="s">
        <v>52</v>
      </c>
      <c r="B62" s="483" t="s">
        <v>102</v>
      </c>
      <c r="C62" s="486">
        <f>ROUND('2. Прогноз. Без корректировки'!C62,3)</f>
        <v>0</v>
      </c>
      <c r="D62" s="486">
        <f>ROUND('2. Прогноз. Без корректировки'!D62,3)</f>
        <v>0</v>
      </c>
      <c r="E62" s="486">
        <f>ROUND('2. Прогноз. Без корректировки'!E62,3)</f>
        <v>0</v>
      </c>
      <c r="F62" s="487">
        <f>ROUND('2. Прогноз. Без корректировки'!F62,3)</f>
        <v>0</v>
      </c>
      <c r="G62" s="473">
        <f>ROUND(SUM(C62:F62),3)</f>
        <v>0</v>
      </c>
      <c r="H62" s="486">
        <f>ROUND('2. Прогноз. Без корректировки'!H62,3)</f>
        <v>0</v>
      </c>
      <c r="I62" s="486">
        <f>ROUND('2. Прогноз. Без корректировки'!I62,3)</f>
        <v>0</v>
      </c>
      <c r="J62" s="486">
        <f>ROUND('2. Прогноз. Без корректировки'!J62,3)</f>
        <v>0</v>
      </c>
      <c r="K62" s="487">
        <f>ROUND('2. Прогноз. Без корректировки'!K62,3)</f>
        <v>0</v>
      </c>
      <c r="L62" s="473">
        <f>ROUND(SUM(H62:K62),3)</f>
        <v>0</v>
      </c>
      <c r="M62" s="486">
        <f>ROUND('2. Прогноз. Без корректировки'!M62,3)</f>
        <v>0</v>
      </c>
      <c r="N62" s="486">
        <f>ROUND('2. Прогноз. Без корректировки'!N62,3)</f>
        <v>0</v>
      </c>
      <c r="O62" s="486">
        <f>ROUND('2. Прогноз. Без корректировки'!O62,3)</f>
        <v>0</v>
      </c>
      <c r="P62" s="487">
        <f>ROUND('2. Прогноз. Без корректировки'!P62,3)</f>
        <v>0</v>
      </c>
      <c r="Q62" s="473">
        <f>ROUND(SUM(M62:P62),3)</f>
        <v>0</v>
      </c>
      <c r="R62" s="100"/>
    </row>
    <row r="63" spans="1:18" s="16" customFormat="1" x14ac:dyDescent="0.25">
      <c r="A63" s="397" t="s">
        <v>140</v>
      </c>
      <c r="B63" s="495" t="s">
        <v>102</v>
      </c>
      <c r="C63" s="464">
        <f t="shared" ref="C63:Q63" si="24">ROUND(C64+C69+C74,3)</f>
        <v>0</v>
      </c>
      <c r="D63" s="464">
        <f t="shared" si="24"/>
        <v>0</v>
      </c>
      <c r="E63" s="464">
        <f t="shared" si="24"/>
        <v>0</v>
      </c>
      <c r="F63" s="465">
        <f t="shared" si="24"/>
        <v>0</v>
      </c>
      <c r="G63" s="455">
        <f t="shared" si="24"/>
        <v>0</v>
      </c>
      <c r="H63" s="464">
        <f t="shared" si="24"/>
        <v>0</v>
      </c>
      <c r="I63" s="464">
        <f t="shared" si="24"/>
        <v>0</v>
      </c>
      <c r="J63" s="464">
        <f t="shared" si="24"/>
        <v>0</v>
      </c>
      <c r="K63" s="465">
        <f t="shared" si="24"/>
        <v>0</v>
      </c>
      <c r="L63" s="455">
        <f t="shared" si="24"/>
        <v>0</v>
      </c>
      <c r="M63" s="464">
        <f t="shared" si="24"/>
        <v>0</v>
      </c>
      <c r="N63" s="464">
        <f t="shared" si="24"/>
        <v>0</v>
      </c>
      <c r="O63" s="464">
        <f t="shared" si="24"/>
        <v>0</v>
      </c>
      <c r="P63" s="465">
        <f t="shared" si="24"/>
        <v>0</v>
      </c>
      <c r="Q63" s="455">
        <f t="shared" si="24"/>
        <v>0</v>
      </c>
      <c r="R63" s="99"/>
    </row>
    <row r="64" spans="1:18" ht="14.65" customHeight="1" outlineLevel="1" collapsed="1" x14ac:dyDescent="0.25">
      <c r="A64" s="496" t="s">
        <v>94</v>
      </c>
      <c r="B64" s="479" t="s">
        <v>102</v>
      </c>
      <c r="C64" s="467">
        <f t="shared" ref="C64:Q64" si="25">ROUND(C65+C66-C67+C68,3)</f>
        <v>0</v>
      </c>
      <c r="D64" s="480">
        <f t="shared" si="25"/>
        <v>0</v>
      </c>
      <c r="E64" s="480">
        <f t="shared" si="25"/>
        <v>0</v>
      </c>
      <c r="F64" s="481">
        <f t="shared" si="25"/>
        <v>0</v>
      </c>
      <c r="G64" s="461">
        <f t="shared" si="25"/>
        <v>0</v>
      </c>
      <c r="H64" s="467">
        <f t="shared" si="25"/>
        <v>0</v>
      </c>
      <c r="I64" s="480">
        <f t="shared" si="25"/>
        <v>0</v>
      </c>
      <c r="J64" s="480">
        <f t="shared" si="25"/>
        <v>0</v>
      </c>
      <c r="K64" s="481">
        <f t="shared" si="25"/>
        <v>0</v>
      </c>
      <c r="L64" s="461">
        <f t="shared" si="25"/>
        <v>0</v>
      </c>
      <c r="M64" s="467">
        <f t="shared" si="25"/>
        <v>0</v>
      </c>
      <c r="N64" s="480">
        <f t="shared" si="25"/>
        <v>0</v>
      </c>
      <c r="O64" s="480">
        <f t="shared" si="25"/>
        <v>0</v>
      </c>
      <c r="P64" s="481">
        <f t="shared" si="25"/>
        <v>0</v>
      </c>
      <c r="Q64" s="461">
        <f t="shared" si="25"/>
        <v>0</v>
      </c>
    </row>
    <row r="65" spans="1:18" s="15" customFormat="1" ht="28.5" hidden="1" customHeight="1" outlineLevel="3" x14ac:dyDescent="0.25">
      <c r="A65" s="497" t="s">
        <v>49</v>
      </c>
      <c r="B65" s="483" t="s">
        <v>102</v>
      </c>
      <c r="C65" s="474">
        <f>ROUND('1.Статистика'!N55,3)</f>
        <v>0</v>
      </c>
      <c r="D65" s="474">
        <f>ROUND('1.Статистика'!O55,3)</f>
        <v>0</v>
      </c>
      <c r="E65" s="474">
        <f>ROUND('1.Статистика'!P55,3)</f>
        <v>0</v>
      </c>
      <c r="F65" s="474">
        <f>ROUND('1.Статистика'!Q55,3)</f>
        <v>0</v>
      </c>
      <c r="G65" s="473">
        <f>ROUND(SUM(C65:F65),3)</f>
        <v>0</v>
      </c>
      <c r="H65" s="474">
        <f>ROUND(C64,3)</f>
        <v>0</v>
      </c>
      <c r="I65" s="484">
        <f>ROUND(D64,3)</f>
        <v>0</v>
      </c>
      <c r="J65" s="484">
        <f>ROUND(E64,3)</f>
        <v>0</v>
      </c>
      <c r="K65" s="485">
        <f>ROUND(F64,3)</f>
        <v>0</v>
      </c>
      <c r="L65" s="473">
        <f>ROUND(SUM(H65:K65),3)</f>
        <v>0</v>
      </c>
      <c r="M65" s="474">
        <f>ROUND(H64,3)</f>
        <v>0</v>
      </c>
      <c r="N65" s="484">
        <f>ROUND(I64,3)</f>
        <v>0</v>
      </c>
      <c r="O65" s="484">
        <f>ROUND(J64,3)</f>
        <v>0</v>
      </c>
      <c r="P65" s="485">
        <f>ROUND(K64,3)</f>
        <v>0</v>
      </c>
      <c r="Q65" s="473">
        <f>ROUND(SUM(M65:P65),3)</f>
        <v>0</v>
      </c>
      <c r="R65" s="100"/>
    </row>
    <row r="66" spans="1:18" s="15" customFormat="1" ht="28.5" hidden="1" customHeight="1" outlineLevel="3" x14ac:dyDescent="0.25">
      <c r="A66" s="497" t="s">
        <v>50</v>
      </c>
      <c r="B66" s="483" t="s">
        <v>102</v>
      </c>
      <c r="C66" s="268">
        <f>ROUND('1.Статистика'!D22,3)</f>
        <v>0</v>
      </c>
      <c r="D66" s="268">
        <f>ROUND('1.Статистика'!E22,3)</f>
        <v>0</v>
      </c>
      <c r="E66" s="268">
        <f>ROUND('1.Статистика'!F22,3)</f>
        <v>0</v>
      </c>
      <c r="F66" s="268">
        <f>ROUND('1.Статистика'!G22,3)</f>
        <v>0</v>
      </c>
      <c r="G66" s="270">
        <f>ROUND(SUM(C66:F66),3)</f>
        <v>0</v>
      </c>
      <c r="H66" s="268">
        <f>ROUND('1.Статистика'!I22,3)</f>
        <v>0</v>
      </c>
      <c r="I66" s="268">
        <f>ROUND('1.Статистика'!J22,3)</f>
        <v>0</v>
      </c>
      <c r="J66" s="268">
        <f>ROUND('1.Статистика'!K22,3)</f>
        <v>0</v>
      </c>
      <c r="K66" s="268">
        <f>ROUND('1.Статистика'!L22,3)</f>
        <v>0</v>
      </c>
      <c r="L66" s="270">
        <f>ROUND(SUM(H66:K66),3)</f>
        <v>0</v>
      </c>
      <c r="M66" s="268">
        <f>ROUND('1.Статистика'!N22,3)</f>
        <v>0</v>
      </c>
      <c r="N66" s="268">
        <f>ROUND('1.Статистика'!O22,3)</f>
        <v>0</v>
      </c>
      <c r="O66" s="268">
        <f>ROUND('1.Статистика'!P22,3)</f>
        <v>0</v>
      </c>
      <c r="P66" s="268">
        <f>ROUND('1.Статистика'!Q22,3)</f>
        <v>0</v>
      </c>
      <c r="Q66" s="270">
        <f>ROUND(SUM(M66:P66),3)</f>
        <v>0</v>
      </c>
      <c r="R66" s="100"/>
    </row>
    <row r="67" spans="1:18" s="15" customFormat="1" ht="28.5" hidden="1" customHeight="1" outlineLevel="3" x14ac:dyDescent="0.25">
      <c r="A67" s="497" t="s">
        <v>51</v>
      </c>
      <c r="B67" s="483" t="s">
        <v>102</v>
      </c>
      <c r="C67" s="498">
        <f>ROUND('2. Прогноз. Без корректировки'!C67,3)</f>
        <v>0</v>
      </c>
      <c r="D67" s="498">
        <f>ROUND('2. Прогноз. Без корректировки'!D67,3)</f>
        <v>0</v>
      </c>
      <c r="E67" s="498">
        <f>ROUND('2. Прогноз. Без корректировки'!E67,3)</f>
        <v>0</v>
      </c>
      <c r="F67" s="499">
        <f>ROUND('2. Прогноз. Без корректировки'!F67,3)</f>
        <v>0</v>
      </c>
      <c r="G67" s="473">
        <f>ROUND(SUM(C67:F67),3)</f>
        <v>0</v>
      </c>
      <c r="H67" s="498">
        <f>ROUND('2. Прогноз. Без корректировки'!H67,3)</f>
        <v>0</v>
      </c>
      <c r="I67" s="498">
        <f>ROUND('2. Прогноз. Без корректировки'!I67,3)</f>
        <v>0</v>
      </c>
      <c r="J67" s="498">
        <f>ROUND('2. Прогноз. Без корректировки'!J67,3)</f>
        <v>0</v>
      </c>
      <c r="K67" s="499">
        <f>ROUND('2. Прогноз. Без корректировки'!K67,3)</f>
        <v>0</v>
      </c>
      <c r="L67" s="473">
        <f>ROUND(SUM(H67:K67),3)</f>
        <v>0</v>
      </c>
      <c r="M67" s="498">
        <f>ROUND('2. Прогноз. Без корректировки'!M67,3)</f>
        <v>0</v>
      </c>
      <c r="N67" s="498">
        <f>ROUND('2. Прогноз. Без корректировки'!N67,3)</f>
        <v>0</v>
      </c>
      <c r="O67" s="498">
        <f>ROUND('2. Прогноз. Без корректировки'!O67,3)</f>
        <v>0</v>
      </c>
      <c r="P67" s="499">
        <f>ROUND('2. Прогноз. Без корректировки'!P67,3)</f>
        <v>0</v>
      </c>
      <c r="Q67" s="473">
        <f>ROUND(SUM(M67:P67),3)</f>
        <v>0</v>
      </c>
      <c r="R67" s="100"/>
    </row>
    <row r="68" spans="1:18" s="15" customFormat="1" ht="28.5" hidden="1" customHeight="1" outlineLevel="3" x14ac:dyDescent="0.25">
      <c r="A68" s="497" t="s">
        <v>52</v>
      </c>
      <c r="B68" s="483" t="s">
        <v>102</v>
      </c>
      <c r="C68" s="486">
        <f>ROUND('2. Прогноз. Без корректировки'!C68,3)</f>
        <v>0</v>
      </c>
      <c r="D68" s="486">
        <f>ROUND('2. Прогноз. Без корректировки'!D68,3)</f>
        <v>0</v>
      </c>
      <c r="E68" s="486">
        <f>ROUND('2. Прогноз. Без корректировки'!E68,3)</f>
        <v>0</v>
      </c>
      <c r="F68" s="487">
        <f>ROUND('2. Прогноз. Без корректировки'!F68,3)</f>
        <v>0</v>
      </c>
      <c r="G68" s="473">
        <f>ROUND(SUM(C68:F68),3)</f>
        <v>0</v>
      </c>
      <c r="H68" s="486">
        <f>ROUND('2. Прогноз. Без корректировки'!H68,3)</f>
        <v>0</v>
      </c>
      <c r="I68" s="486">
        <f>ROUND('2. Прогноз. Без корректировки'!I68,3)</f>
        <v>0</v>
      </c>
      <c r="J68" s="486">
        <f>ROUND('2. Прогноз. Без корректировки'!J68,3)</f>
        <v>0</v>
      </c>
      <c r="K68" s="487">
        <f>ROUND('2. Прогноз. Без корректировки'!K68,3)</f>
        <v>0</v>
      </c>
      <c r="L68" s="473">
        <f>ROUND(SUM(H68:K68),3)</f>
        <v>0</v>
      </c>
      <c r="M68" s="486">
        <f>ROUND('2. Прогноз. Без корректировки'!M68,3)</f>
        <v>0</v>
      </c>
      <c r="N68" s="486">
        <f>ROUND('2. Прогноз. Без корректировки'!N68,3)</f>
        <v>0</v>
      </c>
      <c r="O68" s="486">
        <f>ROUND('2. Прогноз. Без корректировки'!O68,3)</f>
        <v>0</v>
      </c>
      <c r="P68" s="487">
        <f>ROUND('2. Прогноз. Без корректировки'!P68,3)</f>
        <v>0</v>
      </c>
      <c r="Q68" s="473">
        <f>ROUND(SUM(M68:P68),3)</f>
        <v>0</v>
      </c>
      <c r="R68" s="100"/>
    </row>
    <row r="69" spans="1:18" ht="14.65" customHeight="1" outlineLevel="1" collapsed="1" x14ac:dyDescent="0.25">
      <c r="A69" s="496" t="s">
        <v>89</v>
      </c>
      <c r="B69" s="479" t="s">
        <v>102</v>
      </c>
      <c r="C69" s="467">
        <f t="shared" ref="C69:Q69" si="26">ROUND(C70+C71-C72+C73,3)</f>
        <v>0</v>
      </c>
      <c r="D69" s="480">
        <f t="shared" si="26"/>
        <v>0</v>
      </c>
      <c r="E69" s="480">
        <f t="shared" si="26"/>
        <v>0</v>
      </c>
      <c r="F69" s="481">
        <f t="shared" si="26"/>
        <v>0</v>
      </c>
      <c r="G69" s="461">
        <f t="shared" si="26"/>
        <v>0</v>
      </c>
      <c r="H69" s="467">
        <f t="shared" si="26"/>
        <v>0</v>
      </c>
      <c r="I69" s="480">
        <f t="shared" si="26"/>
        <v>0</v>
      </c>
      <c r="J69" s="480">
        <f t="shared" si="26"/>
        <v>0</v>
      </c>
      <c r="K69" s="481">
        <f t="shared" si="26"/>
        <v>0</v>
      </c>
      <c r="L69" s="461">
        <f t="shared" si="26"/>
        <v>0</v>
      </c>
      <c r="M69" s="467">
        <f t="shared" si="26"/>
        <v>0</v>
      </c>
      <c r="N69" s="480">
        <f t="shared" si="26"/>
        <v>0</v>
      </c>
      <c r="O69" s="480">
        <f t="shared" si="26"/>
        <v>0</v>
      </c>
      <c r="P69" s="481">
        <f t="shared" si="26"/>
        <v>0</v>
      </c>
      <c r="Q69" s="461">
        <f t="shared" si="26"/>
        <v>0</v>
      </c>
    </row>
    <row r="70" spans="1:18" s="15" customFormat="1" ht="28.5" hidden="1" customHeight="1" outlineLevel="3" x14ac:dyDescent="0.25">
      <c r="A70" s="497" t="s">
        <v>49</v>
      </c>
      <c r="B70" s="483" t="s">
        <v>102</v>
      </c>
      <c r="C70" s="474">
        <f>ROUND('1.Статистика'!N56,3)</f>
        <v>0</v>
      </c>
      <c r="D70" s="474">
        <f>ROUND('1.Статистика'!O56,3)</f>
        <v>0</v>
      </c>
      <c r="E70" s="474">
        <f>ROUND('1.Статистика'!P56,3)</f>
        <v>0</v>
      </c>
      <c r="F70" s="474">
        <f>ROUND('1.Статистика'!Q56,3)</f>
        <v>0</v>
      </c>
      <c r="G70" s="473">
        <f>ROUND(SUM(C70:F70),3)</f>
        <v>0</v>
      </c>
      <c r="H70" s="474">
        <f>ROUND(C69,3)</f>
        <v>0</v>
      </c>
      <c r="I70" s="484">
        <f>ROUND(D69,3)</f>
        <v>0</v>
      </c>
      <c r="J70" s="484">
        <f>ROUND(E69,3)</f>
        <v>0</v>
      </c>
      <c r="K70" s="485">
        <f>ROUND(F69,3)</f>
        <v>0</v>
      </c>
      <c r="L70" s="473">
        <f>ROUND(SUM(H70:K70),3)</f>
        <v>0</v>
      </c>
      <c r="M70" s="474">
        <f>ROUND(H69,3)</f>
        <v>0</v>
      </c>
      <c r="N70" s="484">
        <f>ROUND(I69,3)</f>
        <v>0</v>
      </c>
      <c r="O70" s="484">
        <f>ROUND(J69,3)</f>
        <v>0</v>
      </c>
      <c r="P70" s="485">
        <f>ROUND(K69,3)</f>
        <v>0</v>
      </c>
      <c r="Q70" s="473">
        <f>ROUND(SUM(M70:P70),3)</f>
        <v>0</v>
      </c>
      <c r="R70" s="100"/>
    </row>
    <row r="71" spans="1:18" s="15" customFormat="1" ht="28.5" hidden="1" customHeight="1" outlineLevel="3" x14ac:dyDescent="0.25">
      <c r="A71" s="497" t="s">
        <v>50</v>
      </c>
      <c r="B71" s="483" t="s">
        <v>102</v>
      </c>
      <c r="C71" s="474">
        <f>ROUND('1.Статистика'!D23,3)</f>
        <v>0</v>
      </c>
      <c r="D71" s="474">
        <f>ROUND('1.Статистика'!E23,3)</f>
        <v>0</v>
      </c>
      <c r="E71" s="474">
        <f>ROUND('1.Статистика'!F23,3)</f>
        <v>0</v>
      </c>
      <c r="F71" s="474">
        <f>ROUND('1.Статистика'!G23,3)</f>
        <v>0</v>
      </c>
      <c r="G71" s="473">
        <f>ROUND(SUM(C71:F71),3)</f>
        <v>0</v>
      </c>
      <c r="H71" s="474">
        <f>ROUND('1.Статистика'!I23,3)</f>
        <v>0</v>
      </c>
      <c r="I71" s="474">
        <f>ROUND('1.Статистика'!J23,3)</f>
        <v>0</v>
      </c>
      <c r="J71" s="474">
        <f>ROUND('1.Статистика'!K23,3)</f>
        <v>0</v>
      </c>
      <c r="K71" s="474">
        <f>ROUND('1.Статистика'!L23,3)</f>
        <v>0</v>
      </c>
      <c r="L71" s="473">
        <f>ROUND(SUM(H71:K71),3)</f>
        <v>0</v>
      </c>
      <c r="M71" s="474">
        <f>ROUND('1.Статистика'!N23,3)</f>
        <v>0</v>
      </c>
      <c r="N71" s="474">
        <f>ROUND('1.Статистика'!O23,3)</f>
        <v>0</v>
      </c>
      <c r="O71" s="474">
        <f>ROUND('1.Статистика'!P23,3)</f>
        <v>0</v>
      </c>
      <c r="P71" s="474">
        <f>ROUND('1.Статистика'!Q23,3)</f>
        <v>0</v>
      </c>
      <c r="Q71" s="473">
        <f>ROUND(SUM(M71:P71),3)</f>
        <v>0</v>
      </c>
      <c r="R71" s="100"/>
    </row>
    <row r="72" spans="1:18" s="15" customFormat="1" ht="28.5" hidden="1" customHeight="1" outlineLevel="3" x14ac:dyDescent="0.25">
      <c r="A72" s="497" t="s">
        <v>51</v>
      </c>
      <c r="B72" s="483" t="s">
        <v>102</v>
      </c>
      <c r="C72" s="498">
        <f>ROUND('2. Прогноз. Без корректировки'!C72,3)</f>
        <v>0</v>
      </c>
      <c r="D72" s="498">
        <f>ROUND('2. Прогноз. Без корректировки'!D72,3)</f>
        <v>0</v>
      </c>
      <c r="E72" s="498">
        <f>ROUND('2. Прогноз. Без корректировки'!E72,3)</f>
        <v>0</v>
      </c>
      <c r="F72" s="499">
        <f>ROUND('2. Прогноз. Без корректировки'!F72,3)</f>
        <v>0</v>
      </c>
      <c r="G72" s="473">
        <f>ROUND(SUM(C72:F72),3)</f>
        <v>0</v>
      </c>
      <c r="H72" s="498">
        <f>ROUND('2. Прогноз. Без корректировки'!H72,3)</f>
        <v>0</v>
      </c>
      <c r="I72" s="498">
        <f>ROUND('2. Прогноз. Без корректировки'!I72,3)</f>
        <v>0</v>
      </c>
      <c r="J72" s="498">
        <f>ROUND('2. Прогноз. Без корректировки'!J72,3)</f>
        <v>0</v>
      </c>
      <c r="K72" s="499">
        <f>ROUND('2. Прогноз. Без корректировки'!K72,3)</f>
        <v>0</v>
      </c>
      <c r="L72" s="473">
        <f>ROUND(SUM(H72:K72),3)</f>
        <v>0</v>
      </c>
      <c r="M72" s="498">
        <f>ROUND('2. Прогноз. Без корректировки'!M72,3)</f>
        <v>0</v>
      </c>
      <c r="N72" s="498">
        <f>ROUND('2. Прогноз. Без корректировки'!N72,3)</f>
        <v>0</v>
      </c>
      <c r="O72" s="498">
        <f>ROUND('2. Прогноз. Без корректировки'!O72,3)</f>
        <v>0</v>
      </c>
      <c r="P72" s="499">
        <f>ROUND('2. Прогноз. Без корректировки'!P72,3)</f>
        <v>0</v>
      </c>
      <c r="Q72" s="473">
        <f>ROUND(SUM(M72:P72),3)</f>
        <v>0</v>
      </c>
      <c r="R72" s="100"/>
    </row>
    <row r="73" spans="1:18" s="15" customFormat="1" ht="28.5" hidden="1" customHeight="1" outlineLevel="3" x14ac:dyDescent="0.25">
      <c r="A73" s="497" t="s">
        <v>52</v>
      </c>
      <c r="B73" s="483" t="s">
        <v>102</v>
      </c>
      <c r="C73" s="486">
        <f>ROUND('2. Прогноз. Без корректировки'!C73,3)</f>
        <v>0</v>
      </c>
      <c r="D73" s="486">
        <f>ROUND('2. Прогноз. Без корректировки'!D73,3)</f>
        <v>0</v>
      </c>
      <c r="E73" s="486">
        <f>ROUND('2. Прогноз. Без корректировки'!E73,3)</f>
        <v>0</v>
      </c>
      <c r="F73" s="487">
        <f>ROUND('2. Прогноз. Без корректировки'!F73,3)</f>
        <v>0</v>
      </c>
      <c r="G73" s="473">
        <f>ROUND(SUM(C73:F73),3)</f>
        <v>0</v>
      </c>
      <c r="H73" s="486">
        <f>ROUND('2. Прогноз. Без корректировки'!H73,3)</f>
        <v>0</v>
      </c>
      <c r="I73" s="486">
        <f>ROUND('2. Прогноз. Без корректировки'!I73,3)</f>
        <v>0</v>
      </c>
      <c r="J73" s="486">
        <f>ROUND('2. Прогноз. Без корректировки'!J73,3)</f>
        <v>0</v>
      </c>
      <c r="K73" s="487">
        <f>ROUND('2. Прогноз. Без корректировки'!K73,3)</f>
        <v>0</v>
      </c>
      <c r="L73" s="473">
        <f>ROUND(SUM(H73:K73),3)</f>
        <v>0</v>
      </c>
      <c r="M73" s="486">
        <f>ROUND('2. Прогноз. Без корректировки'!M73,3)</f>
        <v>0</v>
      </c>
      <c r="N73" s="486">
        <f>ROUND('2. Прогноз. Без корректировки'!N73,3)</f>
        <v>0</v>
      </c>
      <c r="O73" s="486">
        <f>ROUND('2. Прогноз. Без корректировки'!O73,3)</f>
        <v>0</v>
      </c>
      <c r="P73" s="487">
        <f>ROUND('2. Прогноз. Без корректировки'!P73,3)</f>
        <v>0</v>
      </c>
      <c r="Q73" s="473">
        <f>ROUND(SUM(M73:P73),3)</f>
        <v>0</v>
      </c>
      <c r="R73" s="100"/>
    </row>
    <row r="74" spans="1:18" ht="14.65" customHeight="1" outlineLevel="1" collapsed="1" x14ac:dyDescent="0.25">
      <c r="A74" s="496" t="s">
        <v>90</v>
      </c>
      <c r="B74" s="479" t="s">
        <v>102</v>
      </c>
      <c r="C74" s="467">
        <f t="shared" ref="C74:Q74" si="27">ROUND(C75+C76-C77+C78,3)</f>
        <v>0</v>
      </c>
      <c r="D74" s="480">
        <f t="shared" si="27"/>
        <v>0</v>
      </c>
      <c r="E74" s="480">
        <f t="shared" si="27"/>
        <v>0</v>
      </c>
      <c r="F74" s="481">
        <f t="shared" si="27"/>
        <v>0</v>
      </c>
      <c r="G74" s="461">
        <f t="shared" si="27"/>
        <v>0</v>
      </c>
      <c r="H74" s="467">
        <f t="shared" si="27"/>
        <v>0</v>
      </c>
      <c r="I74" s="480">
        <f t="shared" si="27"/>
        <v>0</v>
      </c>
      <c r="J74" s="480">
        <f t="shared" si="27"/>
        <v>0</v>
      </c>
      <c r="K74" s="481">
        <f t="shared" si="27"/>
        <v>0</v>
      </c>
      <c r="L74" s="461">
        <f t="shared" si="27"/>
        <v>0</v>
      </c>
      <c r="M74" s="467">
        <f t="shared" si="27"/>
        <v>0</v>
      </c>
      <c r="N74" s="480">
        <f t="shared" si="27"/>
        <v>0</v>
      </c>
      <c r="O74" s="480">
        <f t="shared" si="27"/>
        <v>0</v>
      </c>
      <c r="P74" s="481">
        <f t="shared" si="27"/>
        <v>0</v>
      </c>
      <c r="Q74" s="461">
        <f t="shared" si="27"/>
        <v>0</v>
      </c>
    </row>
    <row r="75" spans="1:18" s="15" customFormat="1" ht="28.5" hidden="1" customHeight="1" outlineLevel="3" x14ac:dyDescent="0.25">
      <c r="A75" s="497" t="s">
        <v>49</v>
      </c>
      <c r="B75" s="483" t="s">
        <v>102</v>
      </c>
      <c r="C75" s="474">
        <f>ROUND('1.Статистика'!N57,3)</f>
        <v>0</v>
      </c>
      <c r="D75" s="474">
        <f>ROUND('1.Статистика'!O57,3)</f>
        <v>0</v>
      </c>
      <c r="E75" s="474">
        <f>ROUND('1.Статистика'!P57,3)</f>
        <v>0</v>
      </c>
      <c r="F75" s="474">
        <f>ROUND('1.Статистика'!Q57,3)</f>
        <v>0</v>
      </c>
      <c r="G75" s="473">
        <f>ROUND(SUM(C75:F75),3)</f>
        <v>0</v>
      </c>
      <c r="H75" s="474">
        <f>ROUND(C74,3)</f>
        <v>0</v>
      </c>
      <c r="I75" s="484">
        <f>ROUND(D74,3)</f>
        <v>0</v>
      </c>
      <c r="J75" s="484">
        <f>ROUND(E74,3)</f>
        <v>0</v>
      </c>
      <c r="K75" s="485">
        <f>ROUND(F74,3)</f>
        <v>0</v>
      </c>
      <c r="L75" s="473">
        <f>ROUND(SUM(H75:K75),3)</f>
        <v>0</v>
      </c>
      <c r="M75" s="474">
        <f>ROUND(H74,3)</f>
        <v>0</v>
      </c>
      <c r="N75" s="484">
        <f>ROUND(I74,3)</f>
        <v>0</v>
      </c>
      <c r="O75" s="484">
        <f>ROUND(J74,3)</f>
        <v>0</v>
      </c>
      <c r="P75" s="485">
        <f>ROUND(K74,3)</f>
        <v>0</v>
      </c>
      <c r="Q75" s="473">
        <f>ROUND(SUM(M75:P75),3)</f>
        <v>0</v>
      </c>
      <c r="R75" s="100"/>
    </row>
    <row r="76" spans="1:18" s="15" customFormat="1" ht="28.5" hidden="1" customHeight="1" outlineLevel="3" x14ac:dyDescent="0.25">
      <c r="A76" s="497" t="s">
        <v>50</v>
      </c>
      <c r="B76" s="483" t="s">
        <v>102</v>
      </c>
      <c r="C76" s="474">
        <f>ROUND('1.Статистика'!D24,3)</f>
        <v>0</v>
      </c>
      <c r="D76" s="474">
        <f>ROUND('1.Статистика'!E24,3)</f>
        <v>0</v>
      </c>
      <c r="E76" s="474">
        <f>ROUND('1.Статистика'!F24,3)</f>
        <v>0</v>
      </c>
      <c r="F76" s="474">
        <f>ROUND('1.Статистика'!G24,3)</f>
        <v>0</v>
      </c>
      <c r="G76" s="473">
        <f>ROUND(SUM(C76:F76),3)</f>
        <v>0</v>
      </c>
      <c r="H76" s="474">
        <f>ROUND('1.Статистика'!I24,3)</f>
        <v>0</v>
      </c>
      <c r="I76" s="474">
        <f>ROUND('1.Статистика'!J24,3)</f>
        <v>0</v>
      </c>
      <c r="J76" s="474">
        <f>ROUND('1.Статистика'!K24,3)</f>
        <v>0</v>
      </c>
      <c r="K76" s="474">
        <f>ROUND('1.Статистика'!L24,3)</f>
        <v>0</v>
      </c>
      <c r="L76" s="473">
        <f>ROUND(SUM(H76:K76),3)</f>
        <v>0</v>
      </c>
      <c r="M76" s="474">
        <f>ROUND('1.Статистика'!N24,3)</f>
        <v>0</v>
      </c>
      <c r="N76" s="474">
        <f>ROUND('1.Статистика'!O24,3)</f>
        <v>0</v>
      </c>
      <c r="O76" s="474">
        <f>ROUND('1.Статистика'!P24,3)</f>
        <v>0</v>
      </c>
      <c r="P76" s="474">
        <f>ROUND('1.Статистика'!Q24,3)</f>
        <v>0</v>
      </c>
      <c r="Q76" s="473">
        <f>ROUND(SUM(M76:P76),3)</f>
        <v>0</v>
      </c>
      <c r="R76" s="100"/>
    </row>
    <row r="77" spans="1:18" s="15" customFormat="1" ht="28.5" hidden="1" customHeight="1" outlineLevel="3" x14ac:dyDescent="0.25">
      <c r="A77" s="497" t="s">
        <v>51</v>
      </c>
      <c r="B77" s="483" t="s">
        <v>102</v>
      </c>
      <c r="C77" s="498">
        <f>ROUND('2. Прогноз. Без корректировки'!C77,3)</f>
        <v>0</v>
      </c>
      <c r="D77" s="498">
        <f>ROUND('2. Прогноз. Без корректировки'!D77,3)</f>
        <v>0</v>
      </c>
      <c r="E77" s="498">
        <f>ROUND('2. Прогноз. Без корректировки'!E77,3)</f>
        <v>0</v>
      </c>
      <c r="F77" s="499">
        <f>ROUND('2. Прогноз. Без корректировки'!F77,3)</f>
        <v>0</v>
      </c>
      <c r="G77" s="473">
        <f>ROUND(SUM(C77:F77),3)</f>
        <v>0</v>
      </c>
      <c r="H77" s="498">
        <f>ROUND('2. Прогноз. Без корректировки'!H77,3)</f>
        <v>0</v>
      </c>
      <c r="I77" s="498">
        <f>ROUND('2. Прогноз. Без корректировки'!I77,3)</f>
        <v>0</v>
      </c>
      <c r="J77" s="498">
        <f>ROUND('2. Прогноз. Без корректировки'!J77,3)</f>
        <v>0</v>
      </c>
      <c r="K77" s="499">
        <f>ROUND('2. Прогноз. Без корректировки'!K77,3)</f>
        <v>0</v>
      </c>
      <c r="L77" s="473">
        <f>ROUND(SUM(H77:K77),3)</f>
        <v>0</v>
      </c>
      <c r="M77" s="498">
        <f>ROUND('2. Прогноз. Без корректировки'!M77,3)</f>
        <v>0</v>
      </c>
      <c r="N77" s="498">
        <f>ROUND('2. Прогноз. Без корректировки'!N77,3)</f>
        <v>0</v>
      </c>
      <c r="O77" s="498">
        <f>ROUND('2. Прогноз. Без корректировки'!O77,3)</f>
        <v>0</v>
      </c>
      <c r="P77" s="499">
        <f>ROUND('2. Прогноз. Без корректировки'!P77,3)</f>
        <v>0</v>
      </c>
      <c r="Q77" s="473">
        <f>ROUND(SUM(M77:P77),3)</f>
        <v>0</v>
      </c>
      <c r="R77" s="100"/>
    </row>
    <row r="78" spans="1:18" s="15" customFormat="1" ht="28.5" hidden="1" customHeight="1" outlineLevel="3" x14ac:dyDescent="0.25">
      <c r="A78" s="497" t="s">
        <v>52</v>
      </c>
      <c r="B78" s="483" t="s">
        <v>102</v>
      </c>
      <c r="C78" s="486">
        <f>ROUND('2. Прогноз. Без корректировки'!C78,3)</f>
        <v>0</v>
      </c>
      <c r="D78" s="486">
        <f>ROUND('2. Прогноз. Без корректировки'!D78,3)</f>
        <v>0</v>
      </c>
      <c r="E78" s="486">
        <f>ROUND('2. Прогноз. Без корректировки'!E78,3)</f>
        <v>0</v>
      </c>
      <c r="F78" s="487">
        <f>ROUND('2. Прогноз. Без корректировки'!F78,3)</f>
        <v>0</v>
      </c>
      <c r="G78" s="473">
        <f>ROUND(SUM(C78:F78),3)</f>
        <v>0</v>
      </c>
      <c r="H78" s="486">
        <f>ROUND('2. Прогноз. Без корректировки'!H78,3)</f>
        <v>0</v>
      </c>
      <c r="I78" s="486">
        <f>ROUND('2. Прогноз. Без корректировки'!I78,3)</f>
        <v>0</v>
      </c>
      <c r="J78" s="486">
        <f>ROUND('2. Прогноз. Без корректировки'!J78,3)</f>
        <v>0</v>
      </c>
      <c r="K78" s="487">
        <f>ROUND('2. Прогноз. Без корректировки'!K78,3)</f>
        <v>0</v>
      </c>
      <c r="L78" s="473">
        <f>ROUND(SUM(H78:K78),3)</f>
        <v>0</v>
      </c>
      <c r="M78" s="486">
        <f>ROUND('2. Прогноз. Без корректировки'!M78,3)</f>
        <v>0</v>
      </c>
      <c r="N78" s="486">
        <f>ROUND('2. Прогноз. Без корректировки'!N78,3)</f>
        <v>0</v>
      </c>
      <c r="O78" s="486">
        <f>ROUND('2. Прогноз. Без корректировки'!O78,3)</f>
        <v>0</v>
      </c>
      <c r="P78" s="487">
        <f>ROUND('2. Прогноз. Без корректировки'!P78,3)</f>
        <v>0</v>
      </c>
      <c r="Q78" s="473">
        <f>ROUND(SUM(M78:P78),3)</f>
        <v>0</v>
      </c>
      <c r="R78" s="100"/>
    </row>
    <row r="79" spans="1:18" s="16" customFormat="1" x14ac:dyDescent="0.25">
      <c r="A79" s="462" t="s">
        <v>20</v>
      </c>
      <c r="B79" s="495" t="s">
        <v>102</v>
      </c>
      <c r="C79" s="464">
        <f t="shared" ref="C79:Q79" si="28">ROUND(C80+C82+C84,3)</f>
        <v>0</v>
      </c>
      <c r="D79" s="464">
        <f t="shared" si="28"/>
        <v>0</v>
      </c>
      <c r="E79" s="464">
        <f t="shared" si="28"/>
        <v>0</v>
      </c>
      <c r="F79" s="465">
        <f t="shared" si="28"/>
        <v>0</v>
      </c>
      <c r="G79" s="455">
        <f t="shared" si="28"/>
        <v>0</v>
      </c>
      <c r="H79" s="464">
        <f t="shared" si="28"/>
        <v>0</v>
      </c>
      <c r="I79" s="464">
        <f t="shared" si="28"/>
        <v>0</v>
      </c>
      <c r="J79" s="464">
        <f t="shared" si="28"/>
        <v>0</v>
      </c>
      <c r="K79" s="465">
        <f t="shared" si="28"/>
        <v>0</v>
      </c>
      <c r="L79" s="455">
        <f t="shared" si="28"/>
        <v>0</v>
      </c>
      <c r="M79" s="464">
        <f t="shared" si="28"/>
        <v>0</v>
      </c>
      <c r="N79" s="464">
        <f t="shared" si="28"/>
        <v>0</v>
      </c>
      <c r="O79" s="464">
        <f t="shared" si="28"/>
        <v>0</v>
      </c>
      <c r="P79" s="465">
        <f t="shared" si="28"/>
        <v>0</v>
      </c>
      <c r="Q79" s="455">
        <f t="shared" si="28"/>
        <v>0</v>
      </c>
      <c r="R79" s="99"/>
    </row>
    <row r="80" spans="1:18" ht="14.65" customHeight="1" outlineLevel="1" collapsed="1" x14ac:dyDescent="0.25">
      <c r="A80" s="496" t="s">
        <v>94</v>
      </c>
      <c r="B80" s="479" t="s">
        <v>102</v>
      </c>
      <c r="C80" s="467">
        <f>ROUND('2. Прогноз. Без корректировки'!C80,3)</f>
        <v>0</v>
      </c>
      <c r="D80" s="467">
        <f>ROUND('2. Прогноз. Без корректировки'!D80,3)</f>
        <v>0</v>
      </c>
      <c r="E80" s="467">
        <f>ROUND('2. Прогноз. Без корректировки'!E80,3)</f>
        <v>0</v>
      </c>
      <c r="F80" s="468">
        <f>ROUND('2. Прогноз. Без корректировки'!F80,3)</f>
        <v>0</v>
      </c>
      <c r="G80" s="500">
        <f>ROUND('2. Прогноз. Без корректировки'!G80,3)</f>
        <v>0</v>
      </c>
      <c r="H80" s="467">
        <f>ROUND('2. Прогноз. Без корректировки'!H80,3)</f>
        <v>0</v>
      </c>
      <c r="I80" s="467">
        <f>ROUND('2. Прогноз. Без корректировки'!I80,3)</f>
        <v>0</v>
      </c>
      <c r="J80" s="467">
        <f>ROUND('2. Прогноз. Без корректировки'!J80,3)</f>
        <v>0</v>
      </c>
      <c r="K80" s="467">
        <f>ROUND('2. Прогноз. Без корректировки'!K80,3)</f>
        <v>0</v>
      </c>
      <c r="L80" s="500">
        <f>ROUND('2. Прогноз. Без корректировки'!L80,3)</f>
        <v>0</v>
      </c>
      <c r="M80" s="467">
        <f>ROUND('2. Прогноз. Без корректировки'!M80,3)</f>
        <v>0</v>
      </c>
      <c r="N80" s="467">
        <f>ROUND('2. Прогноз. Без корректировки'!N80,3)</f>
        <v>0</v>
      </c>
      <c r="O80" s="467">
        <f>ROUND('2. Прогноз. Без корректировки'!O80,3)</f>
        <v>0</v>
      </c>
      <c r="P80" s="467">
        <f>ROUND('2. Прогноз. Без корректировки'!P80,3)</f>
        <v>0</v>
      </c>
      <c r="Q80" s="500">
        <f>ROUND('2. Прогноз. Без корректировки'!Q80,3)</f>
        <v>0</v>
      </c>
    </row>
    <row r="81" spans="1:18" s="15" customFormat="1" ht="14.65" hidden="1" customHeight="1" outlineLevel="2" x14ac:dyDescent="0.25">
      <c r="A81" s="482" t="s">
        <v>53</v>
      </c>
      <c r="B81" s="483" t="s">
        <v>115</v>
      </c>
      <c r="C81" s="501"/>
      <c r="D81" s="502"/>
      <c r="E81" s="502"/>
      <c r="F81" s="503"/>
      <c r="G81" s="473">
        <f>ROUND('2. Прогноз. Без корректировки'!G81,3)</f>
        <v>0</v>
      </c>
      <c r="H81" s="501"/>
      <c r="I81" s="502"/>
      <c r="J81" s="502"/>
      <c r="K81" s="503"/>
      <c r="L81" s="473">
        <f>ROUND('2. Прогноз. Без корректировки'!L81,3)</f>
        <v>0</v>
      </c>
      <c r="M81" s="501"/>
      <c r="N81" s="502"/>
      <c r="O81" s="502"/>
      <c r="P81" s="503"/>
      <c r="Q81" s="473">
        <f>ROUND('2. Прогноз. Без корректировки'!Q81,3)</f>
        <v>0</v>
      </c>
      <c r="R81" s="100"/>
    </row>
    <row r="82" spans="1:18" ht="14.65" customHeight="1" outlineLevel="1" collapsed="1" x14ac:dyDescent="0.25">
      <c r="A82" s="496" t="s">
        <v>89</v>
      </c>
      <c r="B82" s="479" t="s">
        <v>102</v>
      </c>
      <c r="C82" s="467">
        <f>ROUND('2. Прогноз. Без корректировки'!C82,3)</f>
        <v>0</v>
      </c>
      <c r="D82" s="467">
        <f>ROUND('2. Прогноз. Без корректировки'!D82,3)</f>
        <v>0</v>
      </c>
      <c r="E82" s="467">
        <f>ROUND('2. Прогноз. Без корректировки'!E82,3)</f>
        <v>0</v>
      </c>
      <c r="F82" s="468">
        <f>ROUND('2. Прогноз. Без корректировки'!F82,3)</f>
        <v>0</v>
      </c>
      <c r="G82" s="500">
        <f>ROUND('2. Прогноз. Без корректировки'!G82,3)</f>
        <v>0</v>
      </c>
      <c r="H82" s="467">
        <f>ROUND('2. Прогноз. Без корректировки'!H82,3)</f>
        <v>0</v>
      </c>
      <c r="I82" s="467">
        <f>ROUND('2. Прогноз. Без корректировки'!I82,3)</f>
        <v>0</v>
      </c>
      <c r="J82" s="467">
        <f>ROUND('2. Прогноз. Без корректировки'!J82,3)</f>
        <v>0</v>
      </c>
      <c r="K82" s="467">
        <f>ROUND('2. Прогноз. Без корректировки'!K82,3)</f>
        <v>0</v>
      </c>
      <c r="L82" s="500">
        <f>ROUND('2. Прогноз. Без корректировки'!L82,3)</f>
        <v>0</v>
      </c>
      <c r="M82" s="467">
        <f>ROUND('2. Прогноз. Без корректировки'!M82,3)</f>
        <v>0</v>
      </c>
      <c r="N82" s="467">
        <f>ROUND('2. Прогноз. Без корректировки'!N82,3)</f>
        <v>0</v>
      </c>
      <c r="O82" s="467">
        <f>ROUND('2. Прогноз. Без корректировки'!O82,3)</f>
        <v>0</v>
      </c>
      <c r="P82" s="467">
        <f>ROUND('2. Прогноз. Без корректировки'!P82,3)</f>
        <v>0</v>
      </c>
      <c r="Q82" s="500">
        <f>ROUND('2. Прогноз. Без корректировки'!Q82,3)</f>
        <v>0</v>
      </c>
    </row>
    <row r="83" spans="1:18" s="15" customFormat="1" ht="14.65" hidden="1" customHeight="1" outlineLevel="2" x14ac:dyDescent="0.25">
      <c r="A83" s="482" t="s">
        <v>53</v>
      </c>
      <c r="B83" s="483" t="s">
        <v>115</v>
      </c>
      <c r="C83" s="501"/>
      <c r="D83" s="502"/>
      <c r="E83" s="502"/>
      <c r="F83" s="503"/>
      <c r="G83" s="473">
        <f>ROUND('2. Прогноз. Без корректировки'!G83,3)</f>
        <v>0</v>
      </c>
      <c r="H83" s="501"/>
      <c r="I83" s="502"/>
      <c r="J83" s="502"/>
      <c r="K83" s="503"/>
      <c r="L83" s="473">
        <f>ROUND('2. Прогноз. Без корректировки'!L83,3)</f>
        <v>0</v>
      </c>
      <c r="M83" s="501"/>
      <c r="N83" s="502"/>
      <c r="O83" s="502"/>
      <c r="P83" s="503"/>
      <c r="Q83" s="473">
        <f>ROUND('2. Прогноз. Без корректировки'!Q83,3)</f>
        <v>0</v>
      </c>
      <c r="R83" s="100"/>
    </row>
    <row r="84" spans="1:18" ht="14.65" customHeight="1" outlineLevel="1" collapsed="1" x14ac:dyDescent="0.25">
      <c r="A84" s="496" t="s">
        <v>90</v>
      </c>
      <c r="B84" s="479" t="s">
        <v>102</v>
      </c>
      <c r="C84" s="467">
        <f>ROUND('2. Прогноз. Без корректировки'!C84,3)</f>
        <v>0</v>
      </c>
      <c r="D84" s="467">
        <f>ROUND('2. Прогноз. Без корректировки'!D84,3)</f>
        <v>0</v>
      </c>
      <c r="E84" s="467">
        <f>ROUND('2. Прогноз. Без корректировки'!E84,3)</f>
        <v>0</v>
      </c>
      <c r="F84" s="468">
        <f>ROUND('2. Прогноз. Без корректировки'!F84,3)</f>
        <v>0</v>
      </c>
      <c r="G84" s="500">
        <f>ROUND('2. Прогноз. Без корректировки'!G84,3)</f>
        <v>0</v>
      </c>
      <c r="H84" s="467">
        <f>ROUND('2. Прогноз. Без корректировки'!H84,3)</f>
        <v>0</v>
      </c>
      <c r="I84" s="467">
        <f>ROUND('2. Прогноз. Без корректировки'!I84,3)</f>
        <v>0</v>
      </c>
      <c r="J84" s="467">
        <f>ROUND('2. Прогноз. Без корректировки'!J84,3)</f>
        <v>0</v>
      </c>
      <c r="K84" s="467">
        <f>ROUND('2. Прогноз. Без корректировки'!K84,3)</f>
        <v>0</v>
      </c>
      <c r="L84" s="500">
        <f>ROUND('2. Прогноз. Без корректировки'!L84,3)</f>
        <v>0</v>
      </c>
      <c r="M84" s="467">
        <f>ROUND('2. Прогноз. Без корректировки'!M84,3)</f>
        <v>0</v>
      </c>
      <c r="N84" s="467">
        <f>ROUND('2. Прогноз. Без корректировки'!N84,3)</f>
        <v>0</v>
      </c>
      <c r="O84" s="467">
        <f>ROUND('2. Прогноз. Без корректировки'!O84,3)</f>
        <v>0</v>
      </c>
      <c r="P84" s="467">
        <f>ROUND('2. Прогноз. Без корректировки'!P84,3)</f>
        <v>0</v>
      </c>
      <c r="Q84" s="500">
        <f>ROUND('2. Прогноз. Без корректировки'!Q84,3)</f>
        <v>0</v>
      </c>
    </row>
    <row r="85" spans="1:18" s="15" customFormat="1" ht="14.65" hidden="1" customHeight="1" outlineLevel="2" x14ac:dyDescent="0.25">
      <c r="A85" s="482" t="s">
        <v>53</v>
      </c>
      <c r="B85" s="483" t="s">
        <v>115</v>
      </c>
      <c r="C85" s="501"/>
      <c r="D85" s="502"/>
      <c r="E85" s="502"/>
      <c r="F85" s="503"/>
      <c r="G85" s="473">
        <f>ROUND('2. Прогноз. Без корректировки'!G85,3)</f>
        <v>0</v>
      </c>
      <c r="H85" s="501"/>
      <c r="I85" s="502"/>
      <c r="J85" s="502"/>
      <c r="K85" s="503"/>
      <c r="L85" s="473">
        <f>ROUND('2. Прогноз. Без корректировки'!L85,3)</f>
        <v>0</v>
      </c>
      <c r="M85" s="501"/>
      <c r="N85" s="502"/>
      <c r="O85" s="502"/>
      <c r="P85" s="503"/>
      <c r="Q85" s="473">
        <f>ROUND('2. Прогноз. Без корректировки'!Q85,3)</f>
        <v>0</v>
      </c>
      <c r="R85" s="100"/>
    </row>
    <row r="86" spans="1:18" s="16" customFormat="1" x14ac:dyDescent="0.25">
      <c r="A86" s="462" t="s">
        <v>54</v>
      </c>
      <c r="B86" s="495" t="s">
        <v>102</v>
      </c>
      <c r="C86" s="464">
        <f t="shared" ref="C86:Q86" si="29">ROUND(C87+C90+C93,3)</f>
        <v>4.7279999999999998</v>
      </c>
      <c r="D86" s="464">
        <f t="shared" si="29"/>
        <v>4.74</v>
      </c>
      <c r="E86" s="464">
        <f t="shared" si="29"/>
        <v>4.75</v>
      </c>
      <c r="F86" s="465">
        <f t="shared" si="29"/>
        <v>4.7450000000000001</v>
      </c>
      <c r="G86" s="455">
        <f t="shared" si="29"/>
        <v>18.963000000000001</v>
      </c>
      <c r="H86" s="464">
        <f t="shared" si="29"/>
        <v>4.7290000000000001</v>
      </c>
      <c r="I86" s="464">
        <f t="shared" si="29"/>
        <v>4.74</v>
      </c>
      <c r="J86" s="464">
        <f t="shared" si="29"/>
        <v>4.75</v>
      </c>
      <c r="K86" s="465">
        <f t="shared" si="29"/>
        <v>4.7450000000000001</v>
      </c>
      <c r="L86" s="455">
        <f t="shared" si="29"/>
        <v>18.963999999999999</v>
      </c>
      <c r="M86" s="464">
        <f t="shared" si="29"/>
        <v>4.7300000000000004</v>
      </c>
      <c r="N86" s="464">
        <f t="shared" si="29"/>
        <v>4.74</v>
      </c>
      <c r="O86" s="464">
        <f t="shared" si="29"/>
        <v>4.7519999999999998</v>
      </c>
      <c r="P86" s="465">
        <f t="shared" si="29"/>
        <v>4.75</v>
      </c>
      <c r="Q86" s="455">
        <f t="shared" si="29"/>
        <v>18.972000000000001</v>
      </c>
      <c r="R86" s="99"/>
    </row>
    <row r="87" spans="1:18" ht="14.65" customHeight="1" outlineLevel="1" collapsed="1" x14ac:dyDescent="0.25">
      <c r="A87" s="456" t="s">
        <v>94</v>
      </c>
      <c r="B87" s="479" t="s">
        <v>102</v>
      </c>
      <c r="C87" s="467">
        <f t="shared" ref="C87:Q87" si="30">ROUND(C88+C89,3)</f>
        <v>4.7</v>
      </c>
      <c r="D87" s="480">
        <f t="shared" si="30"/>
        <v>4.7</v>
      </c>
      <c r="E87" s="480">
        <f t="shared" si="30"/>
        <v>4.7</v>
      </c>
      <c r="F87" s="481">
        <f t="shared" si="30"/>
        <v>4.7</v>
      </c>
      <c r="G87" s="461">
        <f t="shared" si="30"/>
        <v>18.8</v>
      </c>
      <c r="H87" s="467">
        <f t="shared" si="30"/>
        <v>4.7</v>
      </c>
      <c r="I87" s="480">
        <f t="shared" si="30"/>
        <v>4.7</v>
      </c>
      <c r="J87" s="480">
        <f t="shared" si="30"/>
        <v>4.7</v>
      </c>
      <c r="K87" s="481">
        <f t="shared" si="30"/>
        <v>4.7</v>
      </c>
      <c r="L87" s="461">
        <f t="shared" si="30"/>
        <v>18.8</v>
      </c>
      <c r="M87" s="467">
        <f t="shared" si="30"/>
        <v>4.7</v>
      </c>
      <c r="N87" s="480">
        <f t="shared" si="30"/>
        <v>4.7</v>
      </c>
      <c r="O87" s="480">
        <f t="shared" si="30"/>
        <v>4.7</v>
      </c>
      <c r="P87" s="481">
        <f t="shared" si="30"/>
        <v>4.7</v>
      </c>
      <c r="Q87" s="461">
        <f t="shared" si="30"/>
        <v>18.8</v>
      </c>
    </row>
    <row r="88" spans="1:18" s="15" customFormat="1" ht="14.65" hidden="1" customHeight="1" outlineLevel="2" x14ac:dyDescent="0.25">
      <c r="A88" s="482" t="s">
        <v>55</v>
      </c>
      <c r="B88" s="483" t="s">
        <v>102</v>
      </c>
      <c r="C88" s="474">
        <f>ROUND('1.Статистика'!N63,3)</f>
        <v>4.9000000000000004</v>
      </c>
      <c r="D88" s="484">
        <f>ROUND('1.Статистика'!O63,3)</f>
        <v>4.9000000000000004</v>
      </c>
      <c r="E88" s="484">
        <f>ROUND('1.Статистика'!P63,3)</f>
        <v>5</v>
      </c>
      <c r="F88" s="485">
        <f>ROUND('1.Статистика'!Q63,3)</f>
        <v>5</v>
      </c>
      <c r="G88" s="473">
        <f>ROUND(SUM(C88:F88),3)</f>
        <v>19.8</v>
      </c>
      <c r="H88" s="474">
        <f>ROUND(C87,3)</f>
        <v>4.7</v>
      </c>
      <c r="I88" s="474">
        <f>ROUND(D87,3)</f>
        <v>4.7</v>
      </c>
      <c r="J88" s="474">
        <f>ROUND(E87,3)</f>
        <v>4.7</v>
      </c>
      <c r="K88" s="475">
        <f>ROUND(F87,3)</f>
        <v>4.7</v>
      </c>
      <c r="L88" s="473">
        <f>ROUND(SUM(H88:K88),3)</f>
        <v>18.8</v>
      </c>
      <c r="M88" s="474">
        <f>ROUND(H87,3)</f>
        <v>4.7</v>
      </c>
      <c r="N88" s="474">
        <f>ROUND(I87,3)</f>
        <v>4.7</v>
      </c>
      <c r="O88" s="474">
        <f>ROUND(J87,3)</f>
        <v>4.7</v>
      </c>
      <c r="P88" s="475">
        <f>ROUND(K87,3)</f>
        <v>4.7</v>
      </c>
      <c r="Q88" s="473">
        <f>ROUND(SUM(M88:P88),3)</f>
        <v>18.8</v>
      </c>
      <c r="R88" s="100"/>
    </row>
    <row r="89" spans="1:18" s="15" customFormat="1" ht="14.65" hidden="1" customHeight="1" outlineLevel="2" x14ac:dyDescent="0.25">
      <c r="A89" s="482" t="s">
        <v>56</v>
      </c>
      <c r="B89" s="483" t="s">
        <v>102</v>
      </c>
      <c r="C89" s="486">
        <f>ROUND('1.Статистика'!C168-C88,3)</f>
        <v>-0.2</v>
      </c>
      <c r="D89" s="486">
        <f>ROUND('1.Статистика'!D168-D88,3)</f>
        <v>-0.2</v>
      </c>
      <c r="E89" s="486">
        <f>ROUND('1.Статистика'!E168-E88,3)</f>
        <v>-0.3</v>
      </c>
      <c r="F89" s="487">
        <f>ROUND('1.Статистика'!F168-F88,3)</f>
        <v>-0.3</v>
      </c>
      <c r="G89" s="473">
        <f>ROUND(SUM(C89:F89),3)</f>
        <v>-1</v>
      </c>
      <c r="H89" s="486">
        <f>ROUND('1.Статистика'!G168-H88,3)</f>
        <v>0</v>
      </c>
      <c r="I89" s="486">
        <f>ROUND('1.Статистика'!H168-I88,3)</f>
        <v>0</v>
      </c>
      <c r="J89" s="486">
        <f>ROUND('1.Статистика'!I168-J88,3)</f>
        <v>0</v>
      </c>
      <c r="K89" s="487">
        <f>ROUND('1.Статистика'!J168-K88,3)</f>
        <v>0</v>
      </c>
      <c r="L89" s="473">
        <f>ROUND(SUM(H89:K89),3)</f>
        <v>0</v>
      </c>
      <c r="M89" s="486">
        <f>ROUND('1.Статистика'!K168-M88,3)</f>
        <v>0</v>
      </c>
      <c r="N89" s="486">
        <f>ROUND('1.Статистика'!L168-N88,3)</f>
        <v>0</v>
      </c>
      <c r="O89" s="486">
        <f>ROUND('1.Статистика'!M168-O88,3)</f>
        <v>0</v>
      </c>
      <c r="P89" s="487">
        <f>ROUND('1.Статистика'!N168-P88,3)</f>
        <v>0</v>
      </c>
      <c r="Q89" s="473">
        <f>ROUND(SUM(M89:P89),3)</f>
        <v>0</v>
      </c>
      <c r="R89" s="100"/>
    </row>
    <row r="90" spans="1:18" ht="14.65" customHeight="1" outlineLevel="1" collapsed="1" x14ac:dyDescent="0.25">
      <c r="A90" s="456" t="s">
        <v>89</v>
      </c>
      <c r="B90" s="479" t="s">
        <v>102</v>
      </c>
      <c r="C90" s="467">
        <f t="shared" ref="C90:Q90" si="31">ROUND(C91+C92,3)</f>
        <v>1.7999999999999999E-2</v>
      </c>
      <c r="D90" s="480">
        <f t="shared" si="31"/>
        <v>0.03</v>
      </c>
      <c r="E90" s="480">
        <f t="shared" si="31"/>
        <v>0.04</v>
      </c>
      <c r="F90" s="481">
        <f t="shared" si="31"/>
        <v>3.5000000000000003E-2</v>
      </c>
      <c r="G90" s="461">
        <f t="shared" si="31"/>
        <v>0.123</v>
      </c>
      <c r="H90" s="467">
        <f t="shared" si="31"/>
        <v>1.9E-2</v>
      </c>
      <c r="I90" s="480">
        <f t="shared" si="31"/>
        <v>0.03</v>
      </c>
      <c r="J90" s="480">
        <f t="shared" si="31"/>
        <v>0.04</v>
      </c>
      <c r="K90" s="481">
        <f t="shared" si="31"/>
        <v>3.5000000000000003E-2</v>
      </c>
      <c r="L90" s="461">
        <f t="shared" si="31"/>
        <v>0.124</v>
      </c>
      <c r="M90" s="467">
        <f t="shared" si="31"/>
        <v>0.02</v>
      </c>
      <c r="N90" s="480">
        <f t="shared" si="31"/>
        <v>0.03</v>
      </c>
      <c r="O90" s="480">
        <f t="shared" si="31"/>
        <v>4.2000000000000003E-2</v>
      </c>
      <c r="P90" s="481">
        <f t="shared" si="31"/>
        <v>0.04</v>
      </c>
      <c r="Q90" s="461">
        <f t="shared" si="31"/>
        <v>0.13200000000000001</v>
      </c>
    </row>
    <row r="91" spans="1:18" s="15" customFormat="1" ht="14.65" hidden="1" customHeight="1" outlineLevel="2" x14ac:dyDescent="0.25">
      <c r="A91" s="482" t="s">
        <v>55</v>
      </c>
      <c r="B91" s="483" t="s">
        <v>102</v>
      </c>
      <c r="C91" s="474">
        <f>ROUND('1.Статистика'!N64,3)</f>
        <v>0.03</v>
      </c>
      <c r="D91" s="484">
        <f>ROUND('1.Статистика'!O64,3)</f>
        <v>0.03</v>
      </c>
      <c r="E91" s="484">
        <f>ROUND('1.Статистика'!P64,3)</f>
        <v>0.04</v>
      </c>
      <c r="F91" s="485">
        <f>ROUND('1.Статистика'!Q64,3)</f>
        <v>3.5000000000000003E-2</v>
      </c>
      <c r="G91" s="473">
        <f>ROUND(SUM(C91:F91),3)</f>
        <v>0.13500000000000001</v>
      </c>
      <c r="H91" s="474">
        <f>ROUND(C90,3)</f>
        <v>1.7999999999999999E-2</v>
      </c>
      <c r="I91" s="474">
        <f>ROUND(D90,3)</f>
        <v>0.03</v>
      </c>
      <c r="J91" s="474">
        <f>ROUND(E90,3)</f>
        <v>0.04</v>
      </c>
      <c r="K91" s="475">
        <f>ROUND(F90,3)</f>
        <v>3.5000000000000003E-2</v>
      </c>
      <c r="L91" s="473">
        <f>ROUND(SUM(H91:K91),3)</f>
        <v>0.123</v>
      </c>
      <c r="M91" s="474">
        <f>ROUND(H90,3)</f>
        <v>1.9E-2</v>
      </c>
      <c r="N91" s="474">
        <f>ROUND(I90,3)</f>
        <v>0.03</v>
      </c>
      <c r="O91" s="474">
        <f>ROUND(J90,3)</f>
        <v>0.04</v>
      </c>
      <c r="P91" s="475">
        <f>ROUND(K90,3)</f>
        <v>3.5000000000000003E-2</v>
      </c>
      <c r="Q91" s="473">
        <f>ROUND(SUM(M91:P91),3)</f>
        <v>0.124</v>
      </c>
      <c r="R91" s="100"/>
    </row>
    <row r="92" spans="1:18" s="15" customFormat="1" ht="14.65" hidden="1" customHeight="1" outlineLevel="2" x14ac:dyDescent="0.25">
      <c r="A92" s="482" t="s">
        <v>56</v>
      </c>
      <c r="B92" s="483" t="s">
        <v>102</v>
      </c>
      <c r="C92" s="486">
        <f>ROUND('1.Статистика'!C169-C91,3)</f>
        <v>-1.2E-2</v>
      </c>
      <c r="D92" s="486">
        <f>ROUND('1.Статистика'!D169-D91,3)</f>
        <v>0</v>
      </c>
      <c r="E92" s="486">
        <f>ROUND('1.Статистика'!E169-E91,3)</f>
        <v>0</v>
      </c>
      <c r="F92" s="487">
        <f>ROUND('1.Статистика'!F169-F91,3)</f>
        <v>0</v>
      </c>
      <c r="G92" s="473">
        <f>ROUND(SUM(C92:F92),3)</f>
        <v>-1.2E-2</v>
      </c>
      <c r="H92" s="486">
        <f>ROUND('1.Статистика'!G169-H91,3)</f>
        <v>1E-3</v>
      </c>
      <c r="I92" s="486">
        <f>ROUND('1.Статистика'!H169-I91,3)</f>
        <v>0</v>
      </c>
      <c r="J92" s="486">
        <f>ROUND('1.Статистика'!I169-J91,3)</f>
        <v>0</v>
      </c>
      <c r="K92" s="487">
        <f>ROUND('1.Статистика'!J169-K91,3)</f>
        <v>0</v>
      </c>
      <c r="L92" s="473">
        <f>ROUND(SUM(H92:K92),3)</f>
        <v>1E-3</v>
      </c>
      <c r="M92" s="486">
        <f>ROUND('1.Статистика'!K169-M91,3)</f>
        <v>1E-3</v>
      </c>
      <c r="N92" s="486">
        <f>ROUND('1.Статистика'!L169-N91,3)</f>
        <v>0</v>
      </c>
      <c r="O92" s="486">
        <f>ROUND('1.Статистика'!M169-O91,3)</f>
        <v>2E-3</v>
      </c>
      <c r="P92" s="487">
        <f>ROUND('1.Статистика'!N169-P91,3)</f>
        <v>5.0000000000000001E-3</v>
      </c>
      <c r="Q92" s="473">
        <f>ROUND(SUM(M92:P92),3)</f>
        <v>8.0000000000000002E-3</v>
      </c>
      <c r="R92" s="100"/>
    </row>
    <row r="93" spans="1:18" ht="14.65" customHeight="1" outlineLevel="1" collapsed="1" x14ac:dyDescent="0.25">
      <c r="A93" s="456" t="s">
        <v>90</v>
      </c>
      <c r="B93" s="479" t="s">
        <v>102</v>
      </c>
      <c r="C93" s="467">
        <f t="shared" ref="C93:Q93" si="32">ROUND(C94+C95,3)</f>
        <v>0.01</v>
      </c>
      <c r="D93" s="480">
        <f t="shared" si="32"/>
        <v>0.01</v>
      </c>
      <c r="E93" s="480">
        <f t="shared" si="32"/>
        <v>0.01</v>
      </c>
      <c r="F93" s="481">
        <f t="shared" si="32"/>
        <v>0.01</v>
      </c>
      <c r="G93" s="461">
        <f t="shared" si="32"/>
        <v>0.04</v>
      </c>
      <c r="H93" s="467">
        <f t="shared" si="32"/>
        <v>0.01</v>
      </c>
      <c r="I93" s="480">
        <f t="shared" si="32"/>
        <v>0.01</v>
      </c>
      <c r="J93" s="480">
        <f t="shared" si="32"/>
        <v>0.01</v>
      </c>
      <c r="K93" s="481">
        <f t="shared" si="32"/>
        <v>0.01</v>
      </c>
      <c r="L93" s="461">
        <f t="shared" si="32"/>
        <v>0.04</v>
      </c>
      <c r="M93" s="467">
        <f t="shared" si="32"/>
        <v>0.01</v>
      </c>
      <c r="N93" s="480">
        <f t="shared" si="32"/>
        <v>0.01</v>
      </c>
      <c r="O93" s="480">
        <f t="shared" si="32"/>
        <v>0.01</v>
      </c>
      <c r="P93" s="481">
        <f t="shared" si="32"/>
        <v>0.01</v>
      </c>
      <c r="Q93" s="461">
        <f t="shared" si="32"/>
        <v>0.04</v>
      </c>
    </row>
    <row r="94" spans="1:18" s="15" customFormat="1" ht="14.65" hidden="1" customHeight="1" outlineLevel="2" x14ac:dyDescent="0.25">
      <c r="A94" s="482" t="s">
        <v>55</v>
      </c>
      <c r="B94" s="483" t="s">
        <v>102</v>
      </c>
      <c r="C94" s="474">
        <f>ROUND('1.Статистика'!N65,3)</f>
        <v>0.01</v>
      </c>
      <c r="D94" s="484">
        <f>ROUND('1.Статистика'!O65,3)</f>
        <v>0.01</v>
      </c>
      <c r="E94" s="484">
        <f>ROUND('1.Статистика'!P65,3)</f>
        <v>0.01</v>
      </c>
      <c r="F94" s="485">
        <f>ROUND('1.Статистика'!Q65,3)</f>
        <v>0.01</v>
      </c>
      <c r="G94" s="473">
        <f>ROUND(SUM(C94:F94),3)</f>
        <v>0.04</v>
      </c>
      <c r="H94" s="474">
        <f>ROUND(C93,3)</f>
        <v>0.01</v>
      </c>
      <c r="I94" s="474">
        <f>ROUND(D93,3)</f>
        <v>0.01</v>
      </c>
      <c r="J94" s="474">
        <f>ROUND(E93,3)</f>
        <v>0.01</v>
      </c>
      <c r="K94" s="475">
        <f>ROUND(F93,3)</f>
        <v>0.01</v>
      </c>
      <c r="L94" s="473">
        <f>ROUND(SUM(H94:K94),3)</f>
        <v>0.04</v>
      </c>
      <c r="M94" s="474">
        <f>ROUND(H93,3)</f>
        <v>0.01</v>
      </c>
      <c r="N94" s="474">
        <f>ROUND(I93,3)</f>
        <v>0.01</v>
      </c>
      <c r="O94" s="474">
        <f>ROUND(J93,3)</f>
        <v>0.01</v>
      </c>
      <c r="P94" s="475">
        <f>ROUND(K93,3)</f>
        <v>0.01</v>
      </c>
      <c r="Q94" s="473">
        <f>ROUND(SUM(M94:P94),3)</f>
        <v>0.04</v>
      </c>
      <c r="R94" s="100"/>
    </row>
    <row r="95" spans="1:18" s="15" customFormat="1" ht="14.65" hidden="1" customHeight="1" outlineLevel="2" x14ac:dyDescent="0.25">
      <c r="A95" s="482" t="s">
        <v>56</v>
      </c>
      <c r="B95" s="483" t="s">
        <v>102</v>
      </c>
      <c r="C95" s="486">
        <f>ROUND('1.Статистика'!C170-C94,3)</f>
        <v>0</v>
      </c>
      <c r="D95" s="486">
        <f>ROUND('1.Статистика'!D170-D94,3)</f>
        <v>0</v>
      </c>
      <c r="E95" s="486">
        <f>ROUND('1.Статистика'!E170-E94,3)</f>
        <v>0</v>
      </c>
      <c r="F95" s="487">
        <f>ROUND('1.Статистика'!F170-F94,3)</f>
        <v>0</v>
      </c>
      <c r="G95" s="473">
        <f>ROUND(SUM(C95:F95),3)</f>
        <v>0</v>
      </c>
      <c r="H95" s="486">
        <f>ROUND('1.Статистика'!G170-H94,3)</f>
        <v>0</v>
      </c>
      <c r="I95" s="486">
        <f>ROUND('1.Статистика'!H170-I94,3)</f>
        <v>0</v>
      </c>
      <c r="J95" s="486">
        <f>ROUND('1.Статистика'!I170-J94,3)</f>
        <v>0</v>
      </c>
      <c r="K95" s="487">
        <f>ROUND('1.Статистика'!J170-K94,3)</f>
        <v>0</v>
      </c>
      <c r="L95" s="473">
        <f>ROUND(SUM(H95:K95),3)</f>
        <v>0</v>
      </c>
      <c r="M95" s="486">
        <f>ROUND('1.Статистика'!K170-M94,3)</f>
        <v>0</v>
      </c>
      <c r="N95" s="486">
        <f>ROUND('1.Статистика'!L170-N94,3)</f>
        <v>0</v>
      </c>
      <c r="O95" s="486">
        <f>ROUND('1.Статистика'!M170-O94,3)</f>
        <v>0</v>
      </c>
      <c r="P95" s="487">
        <f>ROUND('1.Статистика'!N170-P94,3)</f>
        <v>0</v>
      </c>
      <c r="Q95" s="473">
        <f>ROUND(SUM(M95:P95),3)</f>
        <v>0</v>
      </c>
      <c r="R95" s="100"/>
    </row>
    <row r="96" spans="1:18" s="16" customFormat="1" x14ac:dyDescent="0.25">
      <c r="A96" s="462" t="s">
        <v>57</v>
      </c>
      <c r="B96" s="495" t="s">
        <v>102</v>
      </c>
      <c r="C96" s="464">
        <f t="shared" ref="C96:Q96" si="33">ROUND(C97+C100+C103,3)</f>
        <v>1.7010000000000001</v>
      </c>
      <c r="D96" s="464">
        <f t="shared" si="33"/>
        <v>1.78</v>
      </c>
      <c r="E96" s="464">
        <f t="shared" si="33"/>
        <v>1.681</v>
      </c>
      <c r="F96" s="465">
        <f t="shared" si="33"/>
        <v>1.69</v>
      </c>
      <c r="G96" s="455">
        <f t="shared" si="33"/>
        <v>6.8520000000000003</v>
      </c>
      <c r="H96" s="464">
        <f t="shared" si="33"/>
        <v>1.6950000000000001</v>
      </c>
      <c r="I96" s="464">
        <f t="shared" si="33"/>
        <v>1.7729999999999999</v>
      </c>
      <c r="J96" s="464">
        <f t="shared" si="33"/>
        <v>1.675</v>
      </c>
      <c r="K96" s="465">
        <f t="shared" si="33"/>
        <v>1.6839999999999999</v>
      </c>
      <c r="L96" s="455">
        <f t="shared" si="33"/>
        <v>6.827</v>
      </c>
      <c r="M96" s="464">
        <f t="shared" si="33"/>
        <v>1.6879999999999999</v>
      </c>
      <c r="N96" s="464">
        <f t="shared" si="33"/>
        <v>1.766</v>
      </c>
      <c r="O96" s="464">
        <f t="shared" si="33"/>
        <v>1.6679999999999999</v>
      </c>
      <c r="P96" s="465">
        <f t="shared" si="33"/>
        <v>1.6779999999999999</v>
      </c>
      <c r="Q96" s="455">
        <f t="shared" si="33"/>
        <v>6.8</v>
      </c>
      <c r="R96" s="99"/>
    </row>
    <row r="97" spans="1:18" ht="14.65" customHeight="1" outlineLevel="1" collapsed="1" x14ac:dyDescent="0.25">
      <c r="A97" s="456" t="s">
        <v>94</v>
      </c>
      <c r="B97" s="479" t="s">
        <v>102</v>
      </c>
      <c r="C97" s="467">
        <f>ROUND('2. Прогноз. Без корректировки'!C97,3)</f>
        <v>1.171</v>
      </c>
      <c r="D97" s="467">
        <f>ROUND('2. Прогноз. Без корректировки'!D97,3)</f>
        <v>1.171</v>
      </c>
      <c r="E97" s="467">
        <f>ROUND('2. Прогноз. Без корректировки'!E97,3)</f>
        <v>1.157</v>
      </c>
      <c r="F97" s="468">
        <f>ROUND('2. Прогноз. Без корректировки'!F97,3)</f>
        <v>1.1659999999999999</v>
      </c>
      <c r="G97" s="461">
        <f>ROUND('2. Прогноз. Без корректировки'!G97,3)</f>
        <v>4.665</v>
      </c>
      <c r="H97" s="467">
        <f>ROUND('2. Прогноз. Без корректировки'!H97,3)</f>
        <v>1.167</v>
      </c>
      <c r="I97" s="467">
        <f>ROUND('2. Прогноз. Без корректировки'!I97,3)</f>
        <v>1.1659999999999999</v>
      </c>
      <c r="J97" s="467">
        <f>ROUND('2. Прогноз. Без корректировки'!J97,3)</f>
        <v>1.153</v>
      </c>
      <c r="K97" s="467">
        <f>ROUND('2. Прогноз. Без корректировки'!K97,3)</f>
        <v>1.1619999999999999</v>
      </c>
      <c r="L97" s="461">
        <f>ROUND('2. Прогноз. Без корректировки'!L97,3)</f>
        <v>4.6479999999999997</v>
      </c>
      <c r="M97" s="467">
        <f>ROUND('2. Прогноз. Без корректировки'!M97,3)</f>
        <v>1.1619999999999999</v>
      </c>
      <c r="N97" s="467">
        <f>ROUND('2. Прогноз. Без корректировки'!N97,3)</f>
        <v>1.1619999999999999</v>
      </c>
      <c r="O97" s="467">
        <f>ROUND('2. Прогноз. Без корректировки'!O97,3)</f>
        <v>1.1479999999999999</v>
      </c>
      <c r="P97" s="467">
        <f>ROUND('2. Прогноз. Без корректировки'!P97,3)</f>
        <v>1.1579999999999999</v>
      </c>
      <c r="Q97" s="461">
        <f>ROUND('2. Прогноз. Без корректировки'!Q97,3)</f>
        <v>4.63</v>
      </c>
    </row>
    <row r="98" spans="1:18" s="15" customFormat="1" ht="14.65" hidden="1" customHeight="1" outlineLevel="2" x14ac:dyDescent="0.25">
      <c r="A98" s="482" t="s">
        <v>100</v>
      </c>
      <c r="B98" s="520" t="s">
        <v>133</v>
      </c>
      <c r="C98" s="504"/>
      <c r="D98" s="504"/>
      <c r="E98" s="504"/>
      <c r="F98" s="504"/>
      <c r="G98" s="473">
        <f>ROUND('2. Прогноз. Без корректировки'!G98,3)</f>
        <v>4.6029999999999998</v>
      </c>
      <c r="H98" s="504"/>
      <c r="I98" s="504"/>
      <c r="J98" s="504"/>
      <c r="K98" s="504"/>
      <c r="L98" s="473">
        <f>ROUND('2. Прогноз. Без корректировки'!L98,3)</f>
        <v>4.6029999999999998</v>
      </c>
      <c r="M98" s="504"/>
      <c r="N98" s="504"/>
      <c r="O98" s="504"/>
      <c r="P98" s="504"/>
      <c r="Q98" s="473">
        <f>ROUND('2. Прогноз. Без корректировки'!Q98,3)</f>
        <v>4.6029999999999998</v>
      </c>
      <c r="R98" s="100"/>
    </row>
    <row r="99" spans="1:18" s="15" customFormat="1" ht="14.65" hidden="1" customHeight="1" outlineLevel="2" x14ac:dyDescent="0.25">
      <c r="A99" s="482" t="s">
        <v>125</v>
      </c>
      <c r="B99" s="483" t="s">
        <v>105</v>
      </c>
      <c r="C99" s="504"/>
      <c r="D99" s="504"/>
      <c r="E99" s="504"/>
      <c r="F99" s="504"/>
      <c r="G99" s="473">
        <f>ROUND('2. Прогноз. Без корректировки'!G99,3)</f>
        <v>1013.45</v>
      </c>
      <c r="H99" s="504"/>
      <c r="I99" s="504"/>
      <c r="J99" s="504"/>
      <c r="K99" s="504"/>
      <c r="L99" s="473">
        <f>ROUND('2. Прогноз. Без корректировки'!L99,3)</f>
        <v>1009.822</v>
      </c>
      <c r="M99" s="504"/>
      <c r="N99" s="504"/>
      <c r="O99" s="504"/>
      <c r="P99" s="504"/>
      <c r="Q99" s="473">
        <f>ROUND('2. Прогноз. Без корректировки'!Q99,3)</f>
        <v>1005.899</v>
      </c>
      <c r="R99" s="100"/>
    </row>
    <row r="100" spans="1:18" ht="14.65" customHeight="1" outlineLevel="1" collapsed="1" x14ac:dyDescent="0.25">
      <c r="A100" s="456" t="s">
        <v>89</v>
      </c>
      <c r="B100" s="479" t="s">
        <v>102</v>
      </c>
      <c r="C100" s="467">
        <f>ROUND('2. Прогноз. Без корректировки'!C100,3)</f>
        <v>0.53</v>
      </c>
      <c r="D100" s="467">
        <f>ROUND('2. Прогноз. Без корректировки'!D100,3)</f>
        <v>0.52500000000000002</v>
      </c>
      <c r="E100" s="467">
        <f>ROUND('2. Прогноз. Без корректировки'!E100,3)</f>
        <v>0.52400000000000002</v>
      </c>
      <c r="F100" s="468">
        <f>ROUND('2. Прогноз. Без корректировки'!F100,3)</f>
        <v>0.52400000000000002</v>
      </c>
      <c r="G100" s="461">
        <f>ROUND('2. Прогноз. Без корректировки'!G100,3)</f>
        <v>2.1030000000000002</v>
      </c>
      <c r="H100" s="467">
        <f>ROUND('2. Прогноз. Без корректировки'!H100,3)</f>
        <v>0.52800000000000002</v>
      </c>
      <c r="I100" s="467">
        <f>ROUND('2. Прогноз. Без корректировки'!I100,3)</f>
        <v>0.52300000000000002</v>
      </c>
      <c r="J100" s="467">
        <f>ROUND('2. Прогноз. Без корректировки'!J100,3)</f>
        <v>0.52200000000000002</v>
      </c>
      <c r="K100" s="467">
        <f>ROUND('2. Прогноз. Без корректировки'!K100,3)</f>
        <v>0.52200000000000002</v>
      </c>
      <c r="L100" s="461">
        <f>ROUND('2. Прогноз. Без корректировки'!L100,3)</f>
        <v>2.0950000000000002</v>
      </c>
      <c r="M100" s="467">
        <f>ROUND('2. Прогноз. Без корректировки'!M100,3)</f>
        <v>0.52600000000000002</v>
      </c>
      <c r="N100" s="467">
        <f>ROUND('2. Прогноз. Без корректировки'!N100,3)</f>
        <v>0.52100000000000002</v>
      </c>
      <c r="O100" s="467">
        <f>ROUND('2. Прогноз. Без корректировки'!O100,3)</f>
        <v>0.52</v>
      </c>
      <c r="P100" s="467">
        <f>ROUND('2. Прогноз. Без корректировки'!P100,3)</f>
        <v>0.52</v>
      </c>
      <c r="Q100" s="461">
        <f>ROUND('2. Прогноз. Без корректировки'!Q100,3)</f>
        <v>2.0870000000000002</v>
      </c>
    </row>
    <row r="101" spans="1:18" s="15" customFormat="1" ht="14.65" hidden="1" customHeight="1" outlineLevel="2" x14ac:dyDescent="0.25">
      <c r="A101" s="482" t="s">
        <v>100</v>
      </c>
      <c r="B101" s="520" t="s">
        <v>133</v>
      </c>
      <c r="C101" s="504"/>
      <c r="D101" s="504"/>
      <c r="E101" s="504"/>
      <c r="F101" s="504"/>
      <c r="G101" s="473">
        <f>ROUND('2. Прогноз. Без корректировки'!G101,3)</f>
        <v>2.0750000000000002</v>
      </c>
      <c r="H101" s="504"/>
      <c r="I101" s="504"/>
      <c r="J101" s="504"/>
      <c r="K101" s="504"/>
      <c r="L101" s="473">
        <f>ROUND('2. Прогноз. Без корректировки'!L101,3)</f>
        <v>2.0750000000000002</v>
      </c>
      <c r="M101" s="504"/>
      <c r="N101" s="504"/>
      <c r="O101" s="504"/>
      <c r="P101" s="504"/>
      <c r="Q101" s="473">
        <f>ROUND('2. Прогноз. Без корректировки'!Q101,3)</f>
        <v>2.0750000000000002</v>
      </c>
      <c r="R101" s="100"/>
    </row>
    <row r="102" spans="1:18" s="15" customFormat="1" ht="14.65" hidden="1" customHeight="1" outlineLevel="2" x14ac:dyDescent="0.25">
      <c r="A102" s="482" t="s">
        <v>125</v>
      </c>
      <c r="B102" s="483" t="s">
        <v>105</v>
      </c>
      <c r="C102" s="504"/>
      <c r="D102" s="504"/>
      <c r="E102" s="504"/>
      <c r="F102" s="504"/>
      <c r="G102" s="473">
        <f>ROUND('2. Прогноз. Без корректировки'!G102,3)</f>
        <v>1013.45</v>
      </c>
      <c r="H102" s="504"/>
      <c r="I102" s="504"/>
      <c r="J102" s="504"/>
      <c r="K102" s="504"/>
      <c r="L102" s="473">
        <f>ROUND('2. Прогноз. Без корректировки'!L102,3)</f>
        <v>1009.822</v>
      </c>
      <c r="M102" s="504"/>
      <c r="N102" s="504"/>
      <c r="O102" s="504"/>
      <c r="P102" s="504"/>
      <c r="Q102" s="473">
        <f>ROUND('2. Прогноз. Без корректировки'!Q102,3)</f>
        <v>1005.899</v>
      </c>
      <c r="R102" s="100"/>
    </row>
    <row r="103" spans="1:18" ht="14.65" customHeight="1" outlineLevel="1" collapsed="1" x14ac:dyDescent="0.25">
      <c r="A103" s="456" t="s">
        <v>90</v>
      </c>
      <c r="B103" s="479" t="s">
        <v>102</v>
      </c>
      <c r="C103" s="467">
        <f>ROUND('2. Прогноз. Без корректировки'!C103,3)</f>
        <v>0</v>
      </c>
      <c r="D103" s="467">
        <f>ROUND('2. Прогноз. Без корректировки'!D103,3)</f>
        <v>8.4000000000000005E-2</v>
      </c>
      <c r="E103" s="467">
        <f>ROUND('2. Прогноз. Без корректировки'!E103,3)</f>
        <v>0</v>
      </c>
      <c r="F103" s="468">
        <f>ROUND('2. Прогноз. Без корректировки'!F103,3)</f>
        <v>0</v>
      </c>
      <c r="G103" s="461">
        <f>ROUND('2. Прогноз. Без корректировки'!G103,3)</f>
        <v>8.4000000000000005E-2</v>
      </c>
      <c r="H103" s="467">
        <f>ROUND('2. Прогноз. Без корректировки'!H103,3)</f>
        <v>0</v>
      </c>
      <c r="I103" s="467">
        <f>ROUND('2. Прогноз. Без корректировки'!I103,3)</f>
        <v>8.4000000000000005E-2</v>
      </c>
      <c r="J103" s="467">
        <f>ROUND('2. Прогноз. Без корректировки'!J103,3)</f>
        <v>0</v>
      </c>
      <c r="K103" s="467">
        <f>ROUND('2. Прогноз. Без корректировки'!K103,3)</f>
        <v>0</v>
      </c>
      <c r="L103" s="461">
        <f>ROUND('2. Прогноз. Без корректировки'!L103,3)</f>
        <v>8.4000000000000005E-2</v>
      </c>
      <c r="M103" s="467">
        <f>ROUND('2. Прогноз. Без корректировки'!M103,3)</f>
        <v>0</v>
      </c>
      <c r="N103" s="467">
        <f>ROUND('2. Прогноз. Без корректировки'!N103,3)</f>
        <v>8.3000000000000004E-2</v>
      </c>
      <c r="O103" s="467">
        <f>ROUND('2. Прогноз. Без корректировки'!O103,3)</f>
        <v>0</v>
      </c>
      <c r="P103" s="467">
        <f>ROUND('2. Прогноз. Без корректировки'!P103,3)</f>
        <v>0</v>
      </c>
      <c r="Q103" s="461">
        <f>ROUND('2. Прогноз. Без корректировки'!Q103,3)</f>
        <v>8.3000000000000004E-2</v>
      </c>
    </row>
    <row r="104" spans="1:18" s="15" customFormat="1" ht="14.65" hidden="1" customHeight="1" outlineLevel="2" x14ac:dyDescent="0.25">
      <c r="A104" s="482" t="s">
        <v>100</v>
      </c>
      <c r="B104" s="520" t="s">
        <v>133</v>
      </c>
      <c r="C104" s="504"/>
      <c r="D104" s="504"/>
      <c r="E104" s="504"/>
      <c r="F104" s="504"/>
      <c r="G104" s="473">
        <f>ROUND('2. Прогноз. Без корректировки'!G104,3)</f>
        <v>8.3000000000000004E-2</v>
      </c>
      <c r="H104" s="504"/>
      <c r="I104" s="504"/>
      <c r="J104" s="504"/>
      <c r="K104" s="504"/>
      <c r="L104" s="473">
        <f>ROUND('2. Прогноз. Без корректировки'!L104,3)</f>
        <v>8.3000000000000004E-2</v>
      </c>
      <c r="M104" s="504"/>
      <c r="N104" s="504"/>
      <c r="O104" s="504"/>
      <c r="P104" s="504"/>
      <c r="Q104" s="473">
        <f>ROUND('2. Прогноз. Без корректировки'!Q104,3)</f>
        <v>8.3000000000000004E-2</v>
      </c>
      <c r="R104" s="100"/>
    </row>
    <row r="105" spans="1:18" s="15" customFormat="1" ht="14.65" hidden="1" customHeight="1" outlineLevel="2" x14ac:dyDescent="0.25">
      <c r="A105" s="482" t="s">
        <v>125</v>
      </c>
      <c r="B105" s="483" t="s">
        <v>105</v>
      </c>
      <c r="C105" s="504"/>
      <c r="D105" s="504"/>
      <c r="E105" s="504"/>
      <c r="F105" s="504"/>
      <c r="G105" s="473">
        <f>ROUND('2. Прогноз. Без корректировки'!G105,3)</f>
        <v>1013.45</v>
      </c>
      <c r="H105" s="504"/>
      <c r="I105" s="504"/>
      <c r="J105" s="504"/>
      <c r="K105" s="504"/>
      <c r="L105" s="473">
        <f>ROUND('2. Прогноз. Без корректировки'!L105,3)</f>
        <v>1009.822</v>
      </c>
      <c r="M105" s="504"/>
      <c r="N105" s="504"/>
      <c r="O105" s="504"/>
      <c r="P105" s="504"/>
      <c r="Q105" s="473">
        <f>ROUND('2. Прогноз. Без корректировки'!Q105,3)</f>
        <v>1005.899</v>
      </c>
      <c r="R105" s="100"/>
    </row>
    <row r="106" spans="1:18" s="3" customFormat="1" ht="15" customHeight="1" x14ac:dyDescent="0.25">
      <c r="A106" s="488" t="s">
        <v>48</v>
      </c>
      <c r="B106" s="545" t="s">
        <v>102</v>
      </c>
      <c r="C106" s="544">
        <f t="shared" ref="C106:Q106" si="34">ROUND(C43+C79+C86+C96,3)</f>
        <v>31.51</v>
      </c>
      <c r="D106" s="544">
        <f t="shared" si="34"/>
        <v>31.571000000000002</v>
      </c>
      <c r="E106" s="544">
        <f t="shared" si="34"/>
        <v>31.521000000000001</v>
      </c>
      <c r="F106" s="544">
        <f t="shared" si="34"/>
        <v>31.46</v>
      </c>
      <c r="G106" s="492">
        <f t="shared" si="34"/>
        <v>126.062</v>
      </c>
      <c r="H106" s="544">
        <f t="shared" si="34"/>
        <v>31.504999999999999</v>
      </c>
      <c r="I106" s="544">
        <f t="shared" si="34"/>
        <v>31.564</v>
      </c>
      <c r="J106" s="544">
        <f t="shared" si="34"/>
        <v>31.515000000000001</v>
      </c>
      <c r="K106" s="544">
        <f t="shared" si="34"/>
        <v>31.454000000000001</v>
      </c>
      <c r="L106" s="492">
        <f t="shared" si="34"/>
        <v>126.038</v>
      </c>
      <c r="M106" s="544">
        <f t="shared" si="34"/>
        <v>31.498999999999999</v>
      </c>
      <c r="N106" s="544">
        <f t="shared" si="34"/>
        <v>31.556999999999999</v>
      </c>
      <c r="O106" s="544">
        <f t="shared" si="34"/>
        <v>31.51</v>
      </c>
      <c r="P106" s="544">
        <f t="shared" si="34"/>
        <v>31.452999999999999</v>
      </c>
      <c r="Q106" s="492">
        <f t="shared" si="34"/>
        <v>126.01900000000001</v>
      </c>
      <c r="R106" s="101"/>
    </row>
    <row r="107" spans="1:18" ht="15" customHeight="1" outlineLevel="1" x14ac:dyDescent="0.25">
      <c r="A107" s="493" t="s">
        <v>114</v>
      </c>
      <c r="B107" s="479" t="s">
        <v>102</v>
      </c>
      <c r="C107" s="266">
        <f t="shared" ref="C107:Q107" si="35">ROUND(C44+C80+C87+C97,3)</f>
        <v>25.771000000000001</v>
      </c>
      <c r="D107" s="266">
        <f t="shared" si="35"/>
        <v>25.771000000000001</v>
      </c>
      <c r="E107" s="266">
        <f t="shared" si="35"/>
        <v>25.757000000000001</v>
      </c>
      <c r="F107" s="266">
        <f t="shared" si="35"/>
        <v>25.745999999999999</v>
      </c>
      <c r="G107" s="389">
        <f t="shared" si="35"/>
        <v>103.045</v>
      </c>
      <c r="H107" s="266">
        <f t="shared" si="35"/>
        <v>25.766999999999999</v>
      </c>
      <c r="I107" s="266">
        <f t="shared" si="35"/>
        <v>25.765999999999998</v>
      </c>
      <c r="J107" s="266">
        <f t="shared" si="35"/>
        <v>25.753</v>
      </c>
      <c r="K107" s="266">
        <f t="shared" si="35"/>
        <v>25.742000000000001</v>
      </c>
      <c r="L107" s="389">
        <f t="shared" si="35"/>
        <v>103.02800000000001</v>
      </c>
      <c r="M107" s="266">
        <f t="shared" si="35"/>
        <v>25.762</v>
      </c>
      <c r="N107" s="266">
        <f t="shared" si="35"/>
        <v>25.762</v>
      </c>
      <c r="O107" s="266">
        <f t="shared" si="35"/>
        <v>25.748000000000001</v>
      </c>
      <c r="P107" s="266">
        <f t="shared" si="35"/>
        <v>25.738</v>
      </c>
      <c r="Q107" s="389">
        <f t="shared" si="35"/>
        <v>103.01</v>
      </c>
    </row>
    <row r="108" spans="1:18" ht="15" customHeight="1" outlineLevel="1" x14ac:dyDescent="0.25">
      <c r="A108" s="493" t="s">
        <v>89</v>
      </c>
      <c r="B108" s="479" t="s">
        <v>102</v>
      </c>
      <c r="C108" s="266">
        <f t="shared" ref="C108:Q108" si="36">ROUND(C45+C82+C90+C100,3)</f>
        <v>5.1790000000000003</v>
      </c>
      <c r="D108" s="266">
        <f t="shared" si="36"/>
        <v>5.1559999999999997</v>
      </c>
      <c r="E108" s="266">
        <f t="shared" si="36"/>
        <v>5.2039999999999997</v>
      </c>
      <c r="F108" s="266">
        <f t="shared" si="36"/>
        <v>5.1539999999999999</v>
      </c>
      <c r="G108" s="389">
        <f t="shared" si="36"/>
        <v>20.693000000000001</v>
      </c>
      <c r="H108" s="266">
        <f t="shared" si="36"/>
        <v>5.1779999999999999</v>
      </c>
      <c r="I108" s="266">
        <f t="shared" si="36"/>
        <v>5.1539999999999999</v>
      </c>
      <c r="J108" s="266">
        <f t="shared" si="36"/>
        <v>5.202</v>
      </c>
      <c r="K108" s="266">
        <f t="shared" si="36"/>
        <v>5.1520000000000001</v>
      </c>
      <c r="L108" s="389">
        <f t="shared" si="36"/>
        <v>20.686</v>
      </c>
      <c r="M108" s="266">
        <f t="shared" si="36"/>
        <v>5.1769999999999996</v>
      </c>
      <c r="N108" s="266">
        <f t="shared" si="36"/>
        <v>5.1520000000000001</v>
      </c>
      <c r="O108" s="266">
        <f t="shared" si="36"/>
        <v>5.202</v>
      </c>
      <c r="P108" s="266">
        <f t="shared" si="36"/>
        <v>5.1550000000000002</v>
      </c>
      <c r="Q108" s="389">
        <f t="shared" si="36"/>
        <v>20.686</v>
      </c>
    </row>
    <row r="109" spans="1:18" ht="15" customHeight="1" outlineLevel="1" x14ac:dyDescent="0.25">
      <c r="A109" s="493" t="s">
        <v>90</v>
      </c>
      <c r="B109" s="479" t="s">
        <v>102</v>
      </c>
      <c r="C109" s="266">
        <f t="shared" ref="C109:Q109" si="37">ROUND(C46+C84+C93+C103,3)</f>
        <v>0.56000000000000005</v>
      </c>
      <c r="D109" s="266">
        <f t="shared" si="37"/>
        <v>0.64400000000000002</v>
      </c>
      <c r="E109" s="266">
        <f t="shared" si="37"/>
        <v>0.56000000000000005</v>
      </c>
      <c r="F109" s="266">
        <f t="shared" si="37"/>
        <v>0.56000000000000005</v>
      </c>
      <c r="G109" s="389">
        <f t="shared" si="37"/>
        <v>2.3239999999999998</v>
      </c>
      <c r="H109" s="266">
        <f t="shared" si="37"/>
        <v>0.56000000000000005</v>
      </c>
      <c r="I109" s="266">
        <f t="shared" si="37"/>
        <v>0.64400000000000002</v>
      </c>
      <c r="J109" s="266">
        <f t="shared" si="37"/>
        <v>0.56000000000000005</v>
      </c>
      <c r="K109" s="266">
        <f t="shared" si="37"/>
        <v>0.56000000000000005</v>
      </c>
      <c r="L109" s="389">
        <f t="shared" si="37"/>
        <v>2.3239999999999998</v>
      </c>
      <c r="M109" s="266">
        <f t="shared" si="37"/>
        <v>0.56000000000000005</v>
      </c>
      <c r="N109" s="266">
        <f t="shared" si="37"/>
        <v>0.64300000000000002</v>
      </c>
      <c r="O109" s="266">
        <f t="shared" si="37"/>
        <v>0.56000000000000005</v>
      </c>
      <c r="P109" s="266">
        <f t="shared" si="37"/>
        <v>0.56000000000000005</v>
      </c>
      <c r="Q109" s="389">
        <f t="shared" si="37"/>
        <v>2.323</v>
      </c>
    </row>
    <row r="110" spans="1:18" x14ac:dyDescent="0.25">
      <c r="A110" s="488" t="s">
        <v>58</v>
      </c>
      <c r="B110" s="505" t="s">
        <v>102</v>
      </c>
      <c r="C110" s="490">
        <f t="shared" ref="C110:Q110" si="38">ROUND(C111+C112+C113,3)</f>
        <v>4.7720000000000002</v>
      </c>
      <c r="D110" s="490">
        <f t="shared" si="38"/>
        <v>4.5339999999999998</v>
      </c>
      <c r="E110" s="490">
        <f t="shared" si="38"/>
        <v>4.4870000000000001</v>
      </c>
      <c r="F110" s="491">
        <f t="shared" si="38"/>
        <v>4.5529999999999999</v>
      </c>
      <c r="G110" s="492">
        <f t="shared" si="38"/>
        <v>4.5529999999999999</v>
      </c>
      <c r="H110" s="490">
        <f t="shared" si="38"/>
        <v>4.7300000000000004</v>
      </c>
      <c r="I110" s="490">
        <f t="shared" si="38"/>
        <v>4.4969999999999999</v>
      </c>
      <c r="J110" s="490">
        <f t="shared" si="38"/>
        <v>4.4539999999999997</v>
      </c>
      <c r="K110" s="491">
        <f t="shared" si="38"/>
        <v>4.524</v>
      </c>
      <c r="L110" s="492">
        <f t="shared" si="38"/>
        <v>4.524</v>
      </c>
      <c r="M110" s="490">
        <f t="shared" si="38"/>
        <v>4.7069999999999999</v>
      </c>
      <c r="N110" s="490">
        <f t="shared" si="38"/>
        <v>4.4790000000000001</v>
      </c>
      <c r="O110" s="490">
        <f t="shared" si="38"/>
        <v>4.4409999999999998</v>
      </c>
      <c r="P110" s="491">
        <f t="shared" si="38"/>
        <v>4.5149999999999997</v>
      </c>
      <c r="Q110" s="492">
        <f t="shared" si="38"/>
        <v>4.5149999999999997</v>
      </c>
    </row>
    <row r="111" spans="1:18" ht="15" customHeight="1" outlineLevel="1" x14ac:dyDescent="0.25">
      <c r="A111" s="493" t="s">
        <v>114</v>
      </c>
      <c r="B111" s="479" t="s">
        <v>102</v>
      </c>
      <c r="C111" s="266">
        <f t="shared" ref="C111:Q111" si="39">ROUND(C40-C107,3)</f>
        <v>4.008</v>
      </c>
      <c r="D111" s="275">
        <f t="shared" si="39"/>
        <v>3.9020000000000001</v>
      </c>
      <c r="E111" s="275">
        <f t="shared" si="39"/>
        <v>3.855</v>
      </c>
      <c r="F111" s="276">
        <f t="shared" si="39"/>
        <v>3.819</v>
      </c>
      <c r="G111" s="389">
        <f t="shared" si="39"/>
        <v>3.819</v>
      </c>
      <c r="H111" s="266">
        <f t="shared" si="39"/>
        <v>4.0119999999999996</v>
      </c>
      <c r="I111" s="275">
        <f t="shared" si="39"/>
        <v>3.911</v>
      </c>
      <c r="J111" s="275">
        <f t="shared" si="39"/>
        <v>3.8679999999999999</v>
      </c>
      <c r="K111" s="276">
        <f t="shared" si="39"/>
        <v>3.8359999999999999</v>
      </c>
      <c r="L111" s="389">
        <f t="shared" si="39"/>
        <v>3.8359999999999999</v>
      </c>
      <c r="M111" s="266">
        <f t="shared" si="39"/>
        <v>4.0339999999999998</v>
      </c>
      <c r="N111" s="275">
        <f t="shared" si="39"/>
        <v>3.9369999999999998</v>
      </c>
      <c r="O111" s="275">
        <f t="shared" si="39"/>
        <v>3.899</v>
      </c>
      <c r="P111" s="276">
        <f t="shared" si="39"/>
        <v>3.871</v>
      </c>
      <c r="Q111" s="389">
        <f t="shared" si="39"/>
        <v>3.871</v>
      </c>
      <c r="R111" s="84"/>
    </row>
    <row r="112" spans="1:18" ht="15" customHeight="1" outlineLevel="1" x14ac:dyDescent="0.25">
      <c r="A112" s="493" t="s">
        <v>89</v>
      </c>
      <c r="B112" s="479" t="s">
        <v>102</v>
      </c>
      <c r="C112" s="266">
        <f t="shared" ref="C112:Q112" si="40">ROUND(C41-C108,3)</f>
        <v>0.46300000000000002</v>
      </c>
      <c r="D112" s="275">
        <f t="shared" si="40"/>
        <v>0.46800000000000003</v>
      </c>
      <c r="E112" s="275">
        <f t="shared" si="40"/>
        <v>0.47099999999999997</v>
      </c>
      <c r="F112" s="276">
        <f t="shared" si="40"/>
        <v>0.47599999999999998</v>
      </c>
      <c r="G112" s="389">
        <f t="shared" si="40"/>
        <v>0.47599999999999998</v>
      </c>
      <c r="H112" s="266">
        <f t="shared" si="40"/>
        <v>0.46300000000000002</v>
      </c>
      <c r="I112" s="275">
        <f t="shared" si="40"/>
        <v>0.46800000000000003</v>
      </c>
      <c r="J112" s="275">
        <f t="shared" si="40"/>
        <v>0.47099999999999997</v>
      </c>
      <c r="K112" s="276">
        <f t="shared" si="40"/>
        <v>0.47599999999999998</v>
      </c>
      <c r="L112" s="389">
        <f t="shared" si="40"/>
        <v>0.47599999999999998</v>
      </c>
      <c r="M112" s="266">
        <f t="shared" si="40"/>
        <v>0.46400000000000002</v>
      </c>
      <c r="N112" s="275">
        <f t="shared" si="40"/>
        <v>0.46899999999999997</v>
      </c>
      <c r="O112" s="275">
        <f t="shared" si="40"/>
        <v>0.47199999999999998</v>
      </c>
      <c r="P112" s="276">
        <f t="shared" si="40"/>
        <v>0.47699999999999998</v>
      </c>
      <c r="Q112" s="389">
        <f t="shared" si="40"/>
        <v>0.47699999999999998</v>
      </c>
      <c r="R112" s="84"/>
    </row>
    <row r="113" spans="1:18" ht="15" customHeight="1" outlineLevel="1" thickBot="1" x14ac:dyDescent="0.3">
      <c r="A113" s="506" t="s">
        <v>90</v>
      </c>
      <c r="B113" s="507" t="s">
        <v>102</v>
      </c>
      <c r="C113" s="288">
        <f t="shared" ref="C113:Q113" si="41">ROUND(C42-C109,3)</f>
        <v>0.30099999999999999</v>
      </c>
      <c r="D113" s="289">
        <f t="shared" si="41"/>
        <v>0.16400000000000001</v>
      </c>
      <c r="E113" s="289">
        <f t="shared" si="41"/>
        <v>0.161</v>
      </c>
      <c r="F113" s="290">
        <f t="shared" si="41"/>
        <v>0.25800000000000001</v>
      </c>
      <c r="G113" s="390">
        <f t="shared" si="41"/>
        <v>0.25800000000000001</v>
      </c>
      <c r="H113" s="288">
        <f t="shared" si="41"/>
        <v>0.255</v>
      </c>
      <c r="I113" s="289">
        <f t="shared" si="41"/>
        <v>0.11799999999999999</v>
      </c>
      <c r="J113" s="289">
        <f t="shared" si="41"/>
        <v>0.115</v>
      </c>
      <c r="K113" s="290">
        <f t="shared" si="41"/>
        <v>0.21199999999999999</v>
      </c>
      <c r="L113" s="390">
        <f t="shared" si="41"/>
        <v>0.21199999999999999</v>
      </c>
      <c r="M113" s="288">
        <f t="shared" si="41"/>
        <v>0.20899999999999999</v>
      </c>
      <c r="N113" s="289">
        <f t="shared" si="41"/>
        <v>7.2999999999999995E-2</v>
      </c>
      <c r="O113" s="289">
        <f t="shared" si="41"/>
        <v>7.0000000000000007E-2</v>
      </c>
      <c r="P113" s="290">
        <f t="shared" si="41"/>
        <v>0.16700000000000001</v>
      </c>
      <c r="Q113" s="390">
        <f t="shared" si="41"/>
        <v>0.16700000000000001</v>
      </c>
      <c r="R113" s="84"/>
    </row>
    <row r="114" spans="1:18" collapsed="1" x14ac:dyDescent="0.25"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</row>
    <row r="115" spans="1:18" x14ac:dyDescent="0.25">
      <c r="A115" s="64" t="s">
        <v>86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</row>
    <row r="116" spans="1:18" ht="15" customHeight="1" x14ac:dyDescent="0.25">
      <c r="A116" s="42" t="s">
        <v>114</v>
      </c>
      <c r="C116" s="394">
        <f t="shared" ref="C116:Q116" si="42">ROUND(C40-C107-C111,3)</f>
        <v>0</v>
      </c>
      <c r="D116" s="394">
        <f t="shared" si="42"/>
        <v>0</v>
      </c>
      <c r="E116" s="394">
        <f t="shared" si="42"/>
        <v>0</v>
      </c>
      <c r="F116" s="394">
        <f t="shared" si="42"/>
        <v>0</v>
      </c>
      <c r="G116" s="411">
        <f t="shared" si="42"/>
        <v>0</v>
      </c>
      <c r="H116" s="394">
        <f t="shared" si="42"/>
        <v>0</v>
      </c>
      <c r="I116" s="394">
        <f t="shared" si="42"/>
        <v>0</v>
      </c>
      <c r="J116" s="394">
        <f t="shared" si="42"/>
        <v>0</v>
      </c>
      <c r="K116" s="394">
        <f t="shared" si="42"/>
        <v>0</v>
      </c>
      <c r="L116" s="411">
        <f t="shared" si="42"/>
        <v>0</v>
      </c>
      <c r="M116" s="394">
        <f t="shared" si="42"/>
        <v>0</v>
      </c>
      <c r="N116" s="394">
        <f t="shared" si="42"/>
        <v>0</v>
      </c>
      <c r="O116" s="394">
        <f t="shared" si="42"/>
        <v>0</v>
      </c>
      <c r="P116" s="394">
        <f t="shared" si="42"/>
        <v>0</v>
      </c>
      <c r="Q116" s="411">
        <f t="shared" si="42"/>
        <v>0</v>
      </c>
    </row>
    <row r="117" spans="1:18" ht="15" customHeight="1" x14ac:dyDescent="0.25">
      <c r="A117" s="42" t="s">
        <v>89</v>
      </c>
      <c r="C117" s="394">
        <f t="shared" ref="C117:Q117" si="43">ROUND(C41-C108-C112,3)</f>
        <v>0</v>
      </c>
      <c r="D117" s="394">
        <f t="shared" si="43"/>
        <v>0</v>
      </c>
      <c r="E117" s="394">
        <f t="shared" si="43"/>
        <v>0</v>
      </c>
      <c r="F117" s="394">
        <f t="shared" si="43"/>
        <v>0</v>
      </c>
      <c r="G117" s="411">
        <f t="shared" si="43"/>
        <v>0</v>
      </c>
      <c r="H117" s="394">
        <f t="shared" si="43"/>
        <v>0</v>
      </c>
      <c r="I117" s="394">
        <f t="shared" si="43"/>
        <v>0</v>
      </c>
      <c r="J117" s="394">
        <f t="shared" si="43"/>
        <v>0</v>
      </c>
      <c r="K117" s="394">
        <f t="shared" si="43"/>
        <v>0</v>
      </c>
      <c r="L117" s="411">
        <f t="shared" si="43"/>
        <v>0</v>
      </c>
      <c r="M117" s="394">
        <f t="shared" si="43"/>
        <v>0</v>
      </c>
      <c r="N117" s="394">
        <f t="shared" si="43"/>
        <v>0</v>
      </c>
      <c r="O117" s="394">
        <f t="shared" si="43"/>
        <v>0</v>
      </c>
      <c r="P117" s="394">
        <f t="shared" si="43"/>
        <v>0</v>
      </c>
      <c r="Q117" s="411">
        <f t="shared" si="43"/>
        <v>0</v>
      </c>
    </row>
    <row r="118" spans="1:18" ht="15" customHeight="1" x14ac:dyDescent="0.25">
      <c r="A118" s="42" t="s">
        <v>90</v>
      </c>
      <c r="C118" s="394">
        <f t="shared" ref="C118:Q118" si="44">ROUND(C42-C109-C113,3)</f>
        <v>0</v>
      </c>
      <c r="D118" s="394">
        <f t="shared" si="44"/>
        <v>0</v>
      </c>
      <c r="E118" s="394">
        <f t="shared" si="44"/>
        <v>0</v>
      </c>
      <c r="F118" s="394">
        <f t="shared" si="44"/>
        <v>0</v>
      </c>
      <c r="G118" s="411">
        <f t="shared" si="44"/>
        <v>0</v>
      </c>
      <c r="H118" s="394">
        <f t="shared" si="44"/>
        <v>0</v>
      </c>
      <c r="I118" s="394">
        <f t="shared" si="44"/>
        <v>0</v>
      </c>
      <c r="J118" s="394">
        <f t="shared" si="44"/>
        <v>0</v>
      </c>
      <c r="K118" s="394">
        <f t="shared" si="44"/>
        <v>0</v>
      </c>
      <c r="L118" s="411">
        <f t="shared" si="44"/>
        <v>0</v>
      </c>
      <c r="M118" s="394">
        <f t="shared" si="44"/>
        <v>0</v>
      </c>
      <c r="N118" s="394">
        <f t="shared" si="44"/>
        <v>0</v>
      </c>
      <c r="O118" s="394">
        <f t="shared" si="44"/>
        <v>0</v>
      </c>
      <c r="P118" s="394">
        <f t="shared" si="44"/>
        <v>0</v>
      </c>
      <c r="Q118" s="411">
        <f t="shared" si="44"/>
        <v>0</v>
      </c>
    </row>
    <row r="119" spans="1:18" x14ac:dyDescent="0.25">
      <c r="A119" s="63"/>
      <c r="C119" s="305"/>
      <c r="D119" s="305"/>
      <c r="E119" s="305"/>
      <c r="F119" s="305"/>
      <c r="G119" s="305"/>
      <c r="H119" s="305"/>
      <c r="I119" s="305"/>
      <c r="J119" s="305"/>
      <c r="K119" s="305"/>
      <c r="L119" s="305"/>
      <c r="M119" s="305"/>
      <c r="N119" s="305"/>
      <c r="O119" s="305"/>
      <c r="P119" s="305"/>
      <c r="Q119" s="305"/>
    </row>
    <row r="120" spans="1:18" x14ac:dyDescent="0.25">
      <c r="A120" s="64" t="s">
        <v>59</v>
      </c>
      <c r="C120" s="305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305"/>
      <c r="Q120" s="305"/>
    </row>
    <row r="121" spans="1:18" x14ac:dyDescent="0.25">
      <c r="A121" s="42" t="s">
        <v>114</v>
      </c>
      <c r="C121" s="394">
        <f t="shared" ref="C121:Q121" si="45">ROUND(C10+C14+C30-C48-C64-C80-C87-C97-C111,3)</f>
        <v>0</v>
      </c>
      <c r="D121" s="394">
        <f t="shared" si="45"/>
        <v>0</v>
      </c>
      <c r="E121" s="394">
        <f t="shared" si="45"/>
        <v>0</v>
      </c>
      <c r="F121" s="394">
        <f t="shared" si="45"/>
        <v>0</v>
      </c>
      <c r="G121" s="394">
        <f t="shared" si="45"/>
        <v>0</v>
      </c>
      <c r="H121" s="394">
        <f t="shared" si="45"/>
        <v>0</v>
      </c>
      <c r="I121" s="394">
        <f t="shared" si="45"/>
        <v>0</v>
      </c>
      <c r="J121" s="394">
        <f t="shared" si="45"/>
        <v>0</v>
      </c>
      <c r="K121" s="394">
        <f t="shared" si="45"/>
        <v>0</v>
      </c>
      <c r="L121" s="394">
        <f t="shared" si="45"/>
        <v>0</v>
      </c>
      <c r="M121" s="394">
        <f t="shared" si="45"/>
        <v>0</v>
      </c>
      <c r="N121" s="394">
        <f t="shared" si="45"/>
        <v>0</v>
      </c>
      <c r="O121" s="394">
        <f t="shared" si="45"/>
        <v>0</v>
      </c>
      <c r="P121" s="394">
        <f t="shared" si="45"/>
        <v>0</v>
      </c>
      <c r="Q121" s="394">
        <f t="shared" si="45"/>
        <v>0</v>
      </c>
    </row>
    <row r="122" spans="1:18" x14ac:dyDescent="0.25">
      <c r="A122" s="42" t="s">
        <v>89</v>
      </c>
      <c r="C122" s="394">
        <f t="shared" ref="C122:Q122" si="46">ROUND(C11+C19+C33-C53-C69-C82-C90-C100-C112,3)</f>
        <v>0</v>
      </c>
      <c r="D122" s="394">
        <f t="shared" si="46"/>
        <v>0</v>
      </c>
      <c r="E122" s="394">
        <f t="shared" si="46"/>
        <v>0</v>
      </c>
      <c r="F122" s="394">
        <f t="shared" si="46"/>
        <v>0</v>
      </c>
      <c r="G122" s="394">
        <f t="shared" si="46"/>
        <v>0</v>
      </c>
      <c r="H122" s="394">
        <f t="shared" si="46"/>
        <v>0</v>
      </c>
      <c r="I122" s="394">
        <f t="shared" si="46"/>
        <v>0</v>
      </c>
      <c r="J122" s="394">
        <f t="shared" si="46"/>
        <v>0</v>
      </c>
      <c r="K122" s="394">
        <f t="shared" si="46"/>
        <v>0</v>
      </c>
      <c r="L122" s="394">
        <f t="shared" si="46"/>
        <v>0</v>
      </c>
      <c r="M122" s="394">
        <f t="shared" si="46"/>
        <v>0</v>
      </c>
      <c r="N122" s="394">
        <f t="shared" si="46"/>
        <v>0</v>
      </c>
      <c r="O122" s="394">
        <f t="shared" si="46"/>
        <v>0</v>
      </c>
      <c r="P122" s="394">
        <f t="shared" si="46"/>
        <v>0</v>
      </c>
      <c r="Q122" s="394">
        <f t="shared" si="46"/>
        <v>0</v>
      </c>
    </row>
    <row r="123" spans="1:18" x14ac:dyDescent="0.25">
      <c r="A123" s="42" t="s">
        <v>90</v>
      </c>
      <c r="C123" s="394">
        <f t="shared" ref="C123:Q123" si="47">ROUND(C12+C24+C36-C58-C74-C84-C93-C103-C113,3)</f>
        <v>0</v>
      </c>
      <c r="D123" s="394">
        <f t="shared" si="47"/>
        <v>0</v>
      </c>
      <c r="E123" s="394">
        <f t="shared" si="47"/>
        <v>0</v>
      </c>
      <c r="F123" s="394">
        <f t="shared" si="47"/>
        <v>0</v>
      </c>
      <c r="G123" s="394">
        <f t="shared" si="47"/>
        <v>0</v>
      </c>
      <c r="H123" s="394">
        <f t="shared" si="47"/>
        <v>0</v>
      </c>
      <c r="I123" s="394">
        <f t="shared" si="47"/>
        <v>0</v>
      </c>
      <c r="J123" s="394">
        <f t="shared" si="47"/>
        <v>0</v>
      </c>
      <c r="K123" s="394">
        <f t="shared" si="47"/>
        <v>0</v>
      </c>
      <c r="L123" s="394">
        <f t="shared" si="47"/>
        <v>0</v>
      </c>
      <c r="M123" s="394">
        <f t="shared" si="47"/>
        <v>0</v>
      </c>
      <c r="N123" s="394">
        <f t="shared" si="47"/>
        <v>0</v>
      </c>
      <c r="O123" s="394">
        <f t="shared" si="47"/>
        <v>0</v>
      </c>
      <c r="P123" s="394">
        <f t="shared" si="47"/>
        <v>0</v>
      </c>
      <c r="Q123" s="394">
        <f t="shared" si="47"/>
        <v>0</v>
      </c>
    </row>
    <row r="248" spans="5:5" ht="15" customHeight="1" x14ac:dyDescent="0.25">
      <c r="E248" s="33">
        <f>E211-E120+'3.Прогноз.С корректировкой Таб7'!D248</f>
        <v>0</v>
      </c>
    </row>
  </sheetData>
  <sheetProtection algorithmName="SHA-512" hashValue="oQGkbNXaGASD0qsvBiwtlpMzU4aygrZOqYtnU27zTFm1rgnmAaITqWNg8HIaVm3792pQ5ZISlYohnMD+h0YmlA==" saltValue="UNlh4FkUZh9JcThszS5NnA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dataValidations count="2">
    <dataValidation type="whole" operator="greaterThan" allowBlank="1" showInputMessage="1" showErrorMessage="1" sqref="M111:P113">
      <formula1>-1000000000</formula1>
    </dataValidation>
    <dataValidation type="decimal" operator="greaterThan" allowBlank="1" showInputMessage="1" showErrorMessage="1" sqref="C98:F99 C101:F102 C104:F105 H98:K99 H101:K102 H104:K105 M98:P99 M101:P102 M104:P105 B3 C43:Q46 H66:K66 M66:P66 C66:F66">
      <formula1>-1000000000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70"/>
  <sheetViews>
    <sheetView zoomScale="90" zoomScaleNormal="9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R1" sqref="R1"/>
    </sheetView>
  </sheetViews>
  <sheetFormatPr defaultColWidth="8.5703125" defaultRowHeight="15" x14ac:dyDescent="0.25"/>
  <cols>
    <col min="1" max="1" width="43.28515625" style="59" customWidth="1"/>
    <col min="2" max="5" width="12.42578125" style="55" customWidth="1"/>
    <col min="6" max="6" width="10.42578125" style="60" customWidth="1"/>
    <col min="7" max="10" width="12.42578125" style="55" customWidth="1"/>
    <col min="11" max="11" width="10.42578125" style="60" customWidth="1"/>
    <col min="12" max="15" width="12.42578125" style="55" customWidth="1"/>
    <col min="16" max="16" width="10.28515625" style="60" customWidth="1"/>
    <col min="17" max="256" width="8" style="54" customWidth="1"/>
    <col min="257" max="16384" width="8.5703125" style="54"/>
  </cols>
  <sheetData>
    <row r="1" spans="1:19" ht="15.75" customHeight="1" x14ac:dyDescent="0.25">
      <c r="A1" s="622"/>
      <c r="B1" s="440" t="s">
        <v>71</v>
      </c>
      <c r="C1" s="440" t="s">
        <v>72</v>
      </c>
      <c r="D1" s="440" t="s">
        <v>73</v>
      </c>
      <c r="E1" s="440" t="s">
        <v>74</v>
      </c>
      <c r="F1" s="440" t="s">
        <v>75</v>
      </c>
      <c r="G1" s="440" t="s">
        <v>76</v>
      </c>
      <c r="H1" s="440" t="s">
        <v>77</v>
      </c>
      <c r="I1" s="440" t="s">
        <v>78</v>
      </c>
      <c r="J1" s="440" t="s">
        <v>79</v>
      </c>
      <c r="K1" s="440" t="s">
        <v>80</v>
      </c>
      <c r="L1" s="440" t="s">
        <v>81</v>
      </c>
      <c r="M1" s="440" t="s">
        <v>82</v>
      </c>
      <c r="N1" s="440" t="s">
        <v>83</v>
      </c>
      <c r="O1" s="440" t="s">
        <v>84</v>
      </c>
      <c r="P1" s="440" t="s">
        <v>85</v>
      </c>
      <c r="Q1" s="72" t="s">
        <v>149</v>
      </c>
      <c r="R1" s="556">
        <v>43739</v>
      </c>
    </row>
    <row r="2" spans="1:19" ht="15.75" customHeight="1" thickBot="1" x14ac:dyDescent="0.3">
      <c r="A2" s="62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R2" s="54">
        <f>IF(Date="","XXX",Date)</f>
        <v>43739</v>
      </c>
    </row>
    <row r="3" spans="1:19" ht="15" customHeight="1" x14ac:dyDescent="0.25">
      <c r="A3" s="623"/>
      <c r="B3" s="611" t="str">
        <f>YEAR(Test_date)&amp;" год"</f>
        <v>2019 год</v>
      </c>
      <c r="C3" s="612"/>
      <c r="D3" s="612"/>
      <c r="E3" s="613"/>
      <c r="F3" s="614" t="str">
        <f>B3</f>
        <v>2019 год</v>
      </c>
      <c r="G3" s="611" t="str">
        <f>(LEFT(B3,4)+1)&amp;" год"</f>
        <v>2020 год</v>
      </c>
      <c r="H3" s="612"/>
      <c r="I3" s="612"/>
      <c r="J3" s="613"/>
      <c r="K3" s="614" t="str">
        <f>G3</f>
        <v>2020 год</v>
      </c>
      <c r="L3" s="611" t="str">
        <f>(LEFT(G3,4)+1)&amp;" год"</f>
        <v>2021 год</v>
      </c>
      <c r="M3" s="612"/>
      <c r="N3" s="612"/>
      <c r="O3" s="613"/>
      <c r="P3" s="614" t="str">
        <f>L3</f>
        <v>2021 год</v>
      </c>
    </row>
    <row r="4" spans="1:19" s="404" customFormat="1" ht="28.5" customHeight="1" thickBot="1" x14ac:dyDescent="0.3">
      <c r="A4" s="624"/>
      <c r="B4" s="540">
        <v>1</v>
      </c>
      <c r="C4" s="541">
        <v>2</v>
      </c>
      <c r="D4" s="541">
        <v>3</v>
      </c>
      <c r="E4" s="542">
        <v>4</v>
      </c>
      <c r="F4" s="615"/>
      <c r="G4" s="540">
        <v>1</v>
      </c>
      <c r="H4" s="541">
        <v>2</v>
      </c>
      <c r="I4" s="541">
        <v>3</v>
      </c>
      <c r="J4" s="542">
        <v>4</v>
      </c>
      <c r="K4" s="615"/>
      <c r="L4" s="540">
        <v>1</v>
      </c>
      <c r="M4" s="541">
        <v>2</v>
      </c>
      <c r="N4" s="541">
        <v>3</v>
      </c>
      <c r="O4" s="542">
        <v>4</v>
      </c>
      <c r="P4" s="615"/>
      <c r="Q4" s="403"/>
    </row>
    <row r="5" spans="1:19" ht="15" customHeight="1" x14ac:dyDescent="0.25">
      <c r="A5" s="424" t="s">
        <v>4</v>
      </c>
      <c r="B5" s="238"/>
      <c r="C5" s="238"/>
      <c r="D5" s="238"/>
      <c r="E5" s="238"/>
      <c r="F5" s="239"/>
      <c r="G5" s="238"/>
      <c r="H5" s="238"/>
      <c r="I5" s="238"/>
      <c r="J5" s="238"/>
      <c r="K5" s="239"/>
      <c r="L5" s="238"/>
      <c r="M5" s="238"/>
      <c r="N5" s="238"/>
      <c r="O5" s="238"/>
      <c r="P5" s="240"/>
    </row>
    <row r="6" spans="1:19" ht="15" customHeight="1" x14ac:dyDescent="0.25">
      <c r="A6" s="425" t="s">
        <v>101</v>
      </c>
      <c r="B6" s="179"/>
      <c r="C6" s="176"/>
      <c r="D6" s="176"/>
      <c r="E6" s="177"/>
      <c r="F6" s="178"/>
      <c r="G6" s="179"/>
      <c r="H6" s="176"/>
      <c r="I6" s="176"/>
      <c r="J6" s="177"/>
      <c r="K6" s="178"/>
      <c r="L6" s="179"/>
      <c r="M6" s="176"/>
      <c r="N6" s="176"/>
      <c r="O6" s="177"/>
      <c r="P6" s="178"/>
    </row>
    <row r="7" spans="1:19" ht="15" customHeight="1" x14ac:dyDescent="0.25">
      <c r="A7" s="426" t="s">
        <v>88</v>
      </c>
      <c r="B7" s="233">
        <f ca="1">ROUND(INDIRECT("'3.Прогноз.С корректировкой Таб7'!"&amp;B$1&amp;$R7),3)</f>
        <v>3.819</v>
      </c>
      <c r="C7" s="105"/>
      <c r="D7" s="105"/>
      <c r="E7" s="180"/>
      <c r="F7" s="181"/>
      <c r="G7" s="182"/>
      <c r="H7" s="105"/>
      <c r="I7" s="105"/>
      <c r="J7" s="180"/>
      <c r="K7" s="181"/>
      <c r="L7" s="182"/>
      <c r="M7" s="105"/>
      <c r="N7" s="105"/>
      <c r="O7" s="180"/>
      <c r="P7" s="181"/>
      <c r="R7" s="54">
        <f>ROW('3.Прогноз.С корректировкой Таб7'!A10)</f>
        <v>10</v>
      </c>
    </row>
    <row r="8" spans="1:19" ht="15" customHeight="1" x14ac:dyDescent="0.25">
      <c r="A8" s="426" t="s">
        <v>89</v>
      </c>
      <c r="B8" s="233">
        <f ca="1">ROUND(INDIRECT("'3.Прогноз.С корректировкой Таб7'!"&amp;B$1&amp;$R8),3)</f>
        <v>0.47599999999999998</v>
      </c>
      <c r="C8" s="105"/>
      <c r="D8" s="105"/>
      <c r="E8" s="180"/>
      <c r="F8" s="181"/>
      <c r="G8" s="182"/>
      <c r="H8" s="105"/>
      <c r="I8" s="105"/>
      <c r="J8" s="180"/>
      <c r="K8" s="181"/>
      <c r="L8" s="182"/>
      <c r="M8" s="105"/>
      <c r="N8" s="105"/>
      <c r="O8" s="180"/>
      <c r="P8" s="181"/>
      <c r="R8" s="54">
        <f t="shared" ref="R8:R9" si="0">R7+S8</f>
        <v>11</v>
      </c>
      <c r="S8" s="54">
        <v>1</v>
      </c>
    </row>
    <row r="9" spans="1:19" ht="15" customHeight="1" x14ac:dyDescent="0.25">
      <c r="A9" s="427" t="s">
        <v>90</v>
      </c>
      <c r="B9" s="235">
        <f ca="1">ROUND(INDIRECT("'3.Прогноз.С корректировкой Таб7'!"&amp;B$1&amp;$R9),3)</f>
        <v>0.30399999999999999</v>
      </c>
      <c r="C9" s="183"/>
      <c r="D9" s="183"/>
      <c r="E9" s="184"/>
      <c r="F9" s="185"/>
      <c r="G9" s="186"/>
      <c r="H9" s="183"/>
      <c r="I9" s="183"/>
      <c r="J9" s="184"/>
      <c r="K9" s="185"/>
      <c r="L9" s="186"/>
      <c r="M9" s="183"/>
      <c r="N9" s="183"/>
      <c r="O9" s="184"/>
      <c r="P9" s="185"/>
      <c r="R9" s="54">
        <f t="shared" si="0"/>
        <v>12</v>
      </c>
      <c r="S9" s="54">
        <v>1</v>
      </c>
    </row>
    <row r="10" spans="1:19" ht="15" customHeight="1" x14ac:dyDescent="0.25">
      <c r="A10" s="428" t="s">
        <v>7</v>
      </c>
      <c r="B10" s="230"/>
      <c r="C10" s="225"/>
      <c r="D10" s="225"/>
      <c r="E10" s="225"/>
      <c r="F10" s="226"/>
      <c r="G10" s="225"/>
      <c r="H10" s="225"/>
      <c r="I10" s="225"/>
      <c r="J10" s="225"/>
      <c r="K10" s="226"/>
      <c r="L10" s="225"/>
      <c r="M10" s="225"/>
      <c r="N10" s="225"/>
      <c r="O10" s="225"/>
      <c r="P10" s="227"/>
    </row>
    <row r="11" spans="1:19" ht="15" customHeight="1" x14ac:dyDescent="0.25">
      <c r="A11" s="425" t="s">
        <v>101</v>
      </c>
      <c r="B11" s="231"/>
      <c r="C11" s="187"/>
      <c r="D11" s="176"/>
      <c r="E11" s="188"/>
      <c r="F11" s="178"/>
      <c r="G11" s="189"/>
      <c r="H11" s="187"/>
      <c r="I11" s="176"/>
      <c r="J11" s="188"/>
      <c r="K11" s="178"/>
      <c r="L11" s="189"/>
      <c r="M11" s="187"/>
      <c r="N11" s="176"/>
      <c r="O11" s="188"/>
      <c r="P11" s="178"/>
    </row>
    <row r="12" spans="1:19" ht="15" customHeight="1" x14ac:dyDescent="0.25">
      <c r="A12" s="426" t="s">
        <v>88</v>
      </c>
      <c r="B12" s="233">
        <f t="shared" ref="B12:E14" ca="1" si="1">ROUND(INDIRECT("'3.Прогноз.С корректировкой Таб7'!"&amp;B$1&amp;$R12),3)</f>
        <v>0.93300000000000005</v>
      </c>
      <c r="C12" s="228">
        <f t="shared" ca="1" si="1"/>
        <v>0.66300000000000003</v>
      </c>
      <c r="D12" s="228">
        <f t="shared" ca="1" si="1"/>
        <v>0.66300000000000003</v>
      </c>
      <c r="E12" s="232">
        <f t="shared" ca="1" si="1"/>
        <v>0.83</v>
      </c>
      <c r="F12" s="181"/>
      <c r="G12" s="233">
        <f t="shared" ref="G12:J14" ca="1" si="2">ROUND(INDIRECT("'3.Прогноз.С корректировкой Таб7'!"&amp;G$1&amp;$R12),3)</f>
        <v>2.8330000000000002</v>
      </c>
      <c r="H12" s="228">
        <f t="shared" ca="1" si="2"/>
        <v>2.863</v>
      </c>
      <c r="I12" s="228">
        <f t="shared" ca="1" si="2"/>
        <v>2.863</v>
      </c>
      <c r="J12" s="232">
        <f t="shared" ca="1" si="2"/>
        <v>2.86</v>
      </c>
      <c r="K12" s="181"/>
      <c r="L12" s="233">
        <f t="shared" ref="L12:O14" ca="1" si="3">ROUND(INDIRECT("'3.Прогноз.С корректировкой Таб7'!"&amp;L$1&amp;$R12),3)</f>
        <v>3.3330000000000002</v>
      </c>
      <c r="M12" s="228">
        <f t="shared" ca="1" si="3"/>
        <v>3.613</v>
      </c>
      <c r="N12" s="228">
        <f t="shared" ca="1" si="3"/>
        <v>3.6230000000000002</v>
      </c>
      <c r="O12" s="232">
        <f t="shared" ca="1" si="3"/>
        <v>3.6</v>
      </c>
      <c r="P12" s="181"/>
      <c r="R12" s="54">
        <f>ROW('3.Прогноз.С корректировкой Таб7'!A14)</f>
        <v>14</v>
      </c>
    </row>
    <row r="13" spans="1:19" ht="15" customHeight="1" x14ac:dyDescent="0.25">
      <c r="A13" s="426" t="s">
        <v>89</v>
      </c>
      <c r="B13" s="233">
        <f t="shared" ca="1" si="1"/>
        <v>0.11</v>
      </c>
      <c r="C13" s="228">
        <f t="shared" ca="1" si="1"/>
        <v>0.08</v>
      </c>
      <c r="D13" s="228">
        <f t="shared" ca="1" si="1"/>
        <v>0.08</v>
      </c>
      <c r="E13" s="232">
        <f t="shared" ca="1" si="1"/>
        <v>8.3000000000000004E-2</v>
      </c>
      <c r="F13" s="181"/>
      <c r="G13" s="233">
        <f t="shared" ca="1" si="2"/>
        <v>0.11</v>
      </c>
      <c r="H13" s="228">
        <f t="shared" ca="1" si="2"/>
        <v>0.08</v>
      </c>
      <c r="I13" s="228">
        <f t="shared" ca="1" si="2"/>
        <v>0.08</v>
      </c>
      <c r="J13" s="232">
        <f t="shared" ca="1" si="2"/>
        <v>8.3000000000000004E-2</v>
      </c>
      <c r="K13" s="181"/>
      <c r="L13" s="233">
        <f t="shared" ca="1" si="3"/>
        <v>0.16</v>
      </c>
      <c r="M13" s="228">
        <f t="shared" ca="1" si="3"/>
        <v>0.13</v>
      </c>
      <c r="N13" s="228">
        <f t="shared" ca="1" si="3"/>
        <v>0.13</v>
      </c>
      <c r="O13" s="232">
        <f t="shared" ca="1" si="3"/>
        <v>0.13300000000000001</v>
      </c>
      <c r="P13" s="181"/>
      <c r="R13" s="54">
        <v>19</v>
      </c>
      <c r="S13" s="54">
        <v>7</v>
      </c>
    </row>
    <row r="14" spans="1:19" ht="15" customHeight="1" x14ac:dyDescent="0.25">
      <c r="A14" s="427" t="s">
        <v>90</v>
      </c>
      <c r="B14" s="235">
        <f t="shared" ca="1" si="1"/>
        <v>5.7000000000000002E-2</v>
      </c>
      <c r="C14" s="229">
        <f t="shared" ca="1" si="1"/>
        <v>5.7000000000000002E-2</v>
      </c>
      <c r="D14" s="229">
        <f t="shared" ca="1" si="1"/>
        <v>5.7000000000000002E-2</v>
      </c>
      <c r="E14" s="234">
        <f t="shared" ca="1" si="1"/>
        <v>5.7000000000000002E-2</v>
      </c>
      <c r="F14" s="185"/>
      <c r="G14" s="235">
        <f t="shared" ca="1" si="2"/>
        <v>5.7000000000000002E-2</v>
      </c>
      <c r="H14" s="229">
        <f t="shared" ca="1" si="2"/>
        <v>5.7000000000000002E-2</v>
      </c>
      <c r="I14" s="229">
        <f t="shared" ca="1" si="2"/>
        <v>5.7000000000000002E-2</v>
      </c>
      <c r="J14" s="234">
        <f t="shared" ca="1" si="2"/>
        <v>5.7000000000000002E-2</v>
      </c>
      <c r="K14" s="185"/>
      <c r="L14" s="235">
        <f t="shared" ca="1" si="3"/>
        <v>0.35699999999999998</v>
      </c>
      <c r="M14" s="229">
        <f t="shared" ca="1" si="3"/>
        <v>0.25700000000000001</v>
      </c>
      <c r="N14" s="229">
        <f t="shared" ca="1" si="3"/>
        <v>0.35699999999999998</v>
      </c>
      <c r="O14" s="234">
        <f t="shared" ca="1" si="3"/>
        <v>0.307</v>
      </c>
      <c r="P14" s="185"/>
      <c r="R14" s="54">
        <v>24</v>
      </c>
      <c r="S14" s="54">
        <f>S13</f>
        <v>7</v>
      </c>
    </row>
    <row r="15" spans="1:19" ht="15" customHeight="1" x14ac:dyDescent="0.25">
      <c r="A15" s="428" t="s">
        <v>70</v>
      </c>
      <c r="B15" s="225"/>
      <c r="C15" s="225"/>
      <c r="D15" s="225"/>
      <c r="E15" s="225"/>
      <c r="F15" s="226"/>
      <c r="G15" s="225"/>
      <c r="H15" s="225"/>
      <c r="I15" s="225"/>
      <c r="J15" s="225"/>
      <c r="K15" s="226"/>
      <c r="L15" s="225"/>
      <c r="M15" s="225"/>
      <c r="N15" s="225"/>
      <c r="O15" s="225"/>
      <c r="P15" s="227"/>
    </row>
    <row r="16" spans="1:19" ht="15" customHeight="1" x14ac:dyDescent="0.25">
      <c r="A16" s="425" t="s">
        <v>101</v>
      </c>
      <c r="B16" s="192"/>
      <c r="C16" s="190"/>
      <c r="D16" s="190"/>
      <c r="E16" s="188"/>
      <c r="F16" s="191"/>
      <c r="G16" s="192"/>
      <c r="H16" s="190"/>
      <c r="I16" s="190"/>
      <c r="J16" s="188"/>
      <c r="K16" s="191"/>
      <c r="L16" s="192"/>
      <c r="M16" s="190"/>
      <c r="N16" s="190"/>
      <c r="O16" s="188"/>
      <c r="P16" s="191"/>
    </row>
    <row r="17" spans="1:19" ht="15" customHeight="1" x14ac:dyDescent="0.25">
      <c r="A17" s="426" t="s">
        <v>88</v>
      </c>
      <c r="B17" s="233">
        <f t="shared" ref="B17:E19" ca="1" si="4">ROUND(INDIRECT("'3.Прогноз.С корректировкой Таб7'!"&amp;B$1&amp;$R17),3)</f>
        <v>25.027000000000001</v>
      </c>
      <c r="C17" s="228">
        <f t="shared" ca="1" si="4"/>
        <v>25.001999999999999</v>
      </c>
      <c r="D17" s="228">
        <f t="shared" ca="1" si="4"/>
        <v>25.047000000000001</v>
      </c>
      <c r="E17" s="232">
        <f t="shared" ca="1" si="4"/>
        <v>24.88</v>
      </c>
      <c r="F17" s="181"/>
      <c r="G17" s="233">
        <f t="shared" ref="G17:J19" ca="1" si="5">ROUND(INDIRECT("'3.Прогноз.С корректировкой Таб7'!"&amp;G$1&amp;$R17),3)</f>
        <v>23.126999999999999</v>
      </c>
      <c r="H17" s="228">
        <f t="shared" ca="1" si="5"/>
        <v>22.802</v>
      </c>
      <c r="I17" s="228">
        <f t="shared" ca="1" si="5"/>
        <v>22.847000000000001</v>
      </c>
      <c r="J17" s="232">
        <f t="shared" ca="1" si="5"/>
        <v>22.85</v>
      </c>
      <c r="K17" s="181"/>
      <c r="L17" s="233">
        <f t="shared" ref="L17:O19" ca="1" si="6">ROUND(INDIRECT("'3.Прогноз.С корректировкой Таб7'!"&amp;L$1&amp;$R17),3)</f>
        <v>22.626999999999999</v>
      </c>
      <c r="M17" s="228">
        <f t="shared" ca="1" si="6"/>
        <v>22.052</v>
      </c>
      <c r="N17" s="228">
        <f t="shared" ca="1" si="6"/>
        <v>22.087</v>
      </c>
      <c r="O17" s="232">
        <f t="shared" ca="1" si="6"/>
        <v>22.11</v>
      </c>
      <c r="P17" s="181"/>
      <c r="R17" s="54">
        <f>ROW('3.Прогноз.С корректировкой Таб7'!A30)</f>
        <v>30</v>
      </c>
    </row>
    <row r="18" spans="1:19" ht="15" customHeight="1" x14ac:dyDescent="0.25">
      <c r="A18" s="426" t="s">
        <v>89</v>
      </c>
      <c r="B18" s="233">
        <f t="shared" ca="1" si="4"/>
        <v>5.056</v>
      </c>
      <c r="C18" s="228">
        <f t="shared" ca="1" si="4"/>
        <v>5.0810000000000004</v>
      </c>
      <c r="D18" s="228">
        <f t="shared" ca="1" si="4"/>
        <v>5.1269999999999998</v>
      </c>
      <c r="E18" s="232">
        <f t="shared" ca="1" si="4"/>
        <v>5.0759999999999996</v>
      </c>
      <c r="F18" s="181"/>
      <c r="G18" s="233">
        <f t="shared" ca="1" si="5"/>
        <v>5.0549999999999997</v>
      </c>
      <c r="H18" s="228">
        <f t="shared" ca="1" si="5"/>
        <v>5.0789999999999997</v>
      </c>
      <c r="I18" s="228">
        <f t="shared" ca="1" si="5"/>
        <v>5.125</v>
      </c>
      <c r="J18" s="232">
        <f t="shared" ca="1" si="5"/>
        <v>5.0739999999999998</v>
      </c>
      <c r="K18" s="181"/>
      <c r="L18" s="233">
        <f t="shared" ca="1" si="6"/>
        <v>5.0049999999999999</v>
      </c>
      <c r="M18" s="228">
        <f t="shared" ca="1" si="6"/>
        <v>5.0270000000000001</v>
      </c>
      <c r="N18" s="228">
        <f t="shared" ca="1" si="6"/>
        <v>5.0750000000000002</v>
      </c>
      <c r="O18" s="232">
        <f t="shared" ca="1" si="6"/>
        <v>5.0270000000000001</v>
      </c>
      <c r="P18" s="181"/>
      <c r="R18" s="54">
        <f>R17+S18</f>
        <v>33</v>
      </c>
      <c r="S18" s="54">
        <v>3</v>
      </c>
    </row>
    <row r="19" spans="1:19" ht="15" customHeight="1" x14ac:dyDescent="0.25">
      <c r="A19" s="427" t="s">
        <v>90</v>
      </c>
      <c r="B19" s="235">
        <f t="shared" ca="1" si="4"/>
        <v>0.5</v>
      </c>
      <c r="C19" s="229">
        <f t="shared" ca="1" si="4"/>
        <v>0.45</v>
      </c>
      <c r="D19" s="229">
        <f t="shared" ca="1" si="4"/>
        <v>0.5</v>
      </c>
      <c r="E19" s="234">
        <f t="shared" ca="1" si="4"/>
        <v>0.6</v>
      </c>
      <c r="F19" s="185"/>
      <c r="G19" s="235">
        <f t="shared" ca="1" si="5"/>
        <v>0.5</v>
      </c>
      <c r="H19" s="229">
        <f t="shared" ca="1" si="5"/>
        <v>0.45</v>
      </c>
      <c r="I19" s="229">
        <f t="shared" ca="1" si="5"/>
        <v>0.5</v>
      </c>
      <c r="J19" s="234">
        <f t="shared" ca="1" si="5"/>
        <v>0.6</v>
      </c>
      <c r="K19" s="185"/>
      <c r="L19" s="235">
        <f t="shared" ca="1" si="6"/>
        <v>0.2</v>
      </c>
      <c r="M19" s="229">
        <f t="shared" ca="1" si="6"/>
        <v>0.25</v>
      </c>
      <c r="N19" s="229">
        <f t="shared" ca="1" si="6"/>
        <v>0.2</v>
      </c>
      <c r="O19" s="234">
        <f t="shared" ca="1" si="6"/>
        <v>0.35</v>
      </c>
      <c r="P19" s="185"/>
      <c r="R19" s="54">
        <f t="shared" ref="R19" si="7">R18+S19</f>
        <v>36</v>
      </c>
      <c r="S19" s="54">
        <v>3</v>
      </c>
    </row>
    <row r="20" spans="1:19" ht="15" customHeight="1" x14ac:dyDescent="0.25">
      <c r="A20" s="429" t="s">
        <v>69</v>
      </c>
      <c r="B20" s="61"/>
      <c r="C20" s="61"/>
      <c r="D20" s="61"/>
      <c r="E20" s="61"/>
      <c r="F20" s="62"/>
      <c r="G20" s="61"/>
      <c r="H20" s="61"/>
      <c r="I20" s="61"/>
      <c r="J20" s="61"/>
      <c r="K20" s="62"/>
      <c r="L20" s="61"/>
      <c r="M20" s="61"/>
      <c r="N20" s="61"/>
      <c r="O20" s="61"/>
      <c r="P20" s="103"/>
    </row>
    <row r="21" spans="1:19" ht="15" customHeight="1" x14ac:dyDescent="0.25">
      <c r="A21" s="425" t="s">
        <v>101</v>
      </c>
      <c r="B21" s="179"/>
      <c r="C21" s="176"/>
      <c r="D21" s="176"/>
      <c r="E21" s="177"/>
      <c r="F21" s="178"/>
      <c r="G21" s="179"/>
      <c r="H21" s="176"/>
      <c r="I21" s="176"/>
      <c r="J21" s="177"/>
      <c r="K21" s="178"/>
      <c r="L21" s="179"/>
      <c r="M21" s="176"/>
      <c r="N21" s="176"/>
      <c r="O21" s="177"/>
      <c r="P21" s="178"/>
    </row>
    <row r="22" spans="1:19" ht="15" customHeight="1" x14ac:dyDescent="0.25">
      <c r="A22" s="426" t="s">
        <v>88</v>
      </c>
      <c r="B22" s="194"/>
      <c r="C22" s="57"/>
      <c r="D22" s="57"/>
      <c r="E22" s="193"/>
      <c r="F22" s="181"/>
      <c r="G22" s="194"/>
      <c r="H22" s="57"/>
      <c r="I22" s="57"/>
      <c r="J22" s="193"/>
      <c r="K22" s="181"/>
      <c r="L22" s="194"/>
      <c r="M22" s="57"/>
      <c r="N22" s="57"/>
      <c r="O22" s="193"/>
      <c r="P22" s="181"/>
    </row>
    <row r="23" spans="1:19" ht="15" customHeight="1" x14ac:dyDescent="0.25">
      <c r="A23" s="426" t="s">
        <v>89</v>
      </c>
      <c r="B23" s="194"/>
      <c r="C23" s="57"/>
      <c r="D23" s="57"/>
      <c r="E23" s="193"/>
      <c r="F23" s="181"/>
      <c r="G23" s="194"/>
      <c r="H23" s="57"/>
      <c r="I23" s="57"/>
      <c r="J23" s="193"/>
      <c r="K23" s="181"/>
      <c r="L23" s="194"/>
      <c r="M23" s="57"/>
      <c r="N23" s="57"/>
      <c r="O23" s="193"/>
      <c r="P23" s="181"/>
    </row>
    <row r="24" spans="1:19" ht="15" customHeight="1" x14ac:dyDescent="0.25">
      <c r="A24" s="426" t="s">
        <v>90</v>
      </c>
      <c r="B24" s="197"/>
      <c r="C24" s="195"/>
      <c r="D24" s="195"/>
      <c r="E24" s="196"/>
      <c r="F24" s="185"/>
      <c r="G24" s="197"/>
      <c r="H24" s="195"/>
      <c r="I24" s="195"/>
      <c r="J24" s="196"/>
      <c r="K24" s="185"/>
      <c r="L24" s="197"/>
      <c r="M24" s="195"/>
      <c r="N24" s="195"/>
      <c r="O24" s="196"/>
      <c r="P24" s="185"/>
    </row>
    <row r="25" spans="1:19" ht="15" customHeight="1" x14ac:dyDescent="0.25">
      <c r="A25" s="428" t="s">
        <v>91</v>
      </c>
      <c r="B25" s="225"/>
      <c r="C25" s="225"/>
      <c r="D25" s="225"/>
      <c r="E25" s="225"/>
      <c r="F25" s="226"/>
      <c r="G25" s="225"/>
      <c r="H25" s="225"/>
      <c r="I25" s="225"/>
      <c r="J25" s="225"/>
      <c r="K25" s="226"/>
      <c r="L25" s="225"/>
      <c r="M25" s="225"/>
      <c r="N25" s="225"/>
      <c r="O25" s="225"/>
      <c r="P25" s="227"/>
    </row>
    <row r="26" spans="1:19" ht="15" customHeight="1" x14ac:dyDescent="0.25">
      <c r="A26" s="430" t="s">
        <v>101</v>
      </c>
      <c r="B26" s="192"/>
      <c r="C26" s="190"/>
      <c r="D26" s="190"/>
      <c r="E26" s="188"/>
      <c r="F26" s="191"/>
      <c r="G26" s="192"/>
      <c r="H26" s="190"/>
      <c r="I26" s="190"/>
      <c r="J26" s="188"/>
      <c r="K26" s="191"/>
      <c r="L26" s="192"/>
      <c r="M26" s="190"/>
      <c r="N26" s="190"/>
      <c r="O26" s="188"/>
      <c r="P26" s="191"/>
    </row>
    <row r="27" spans="1:19" ht="15" customHeight="1" x14ac:dyDescent="0.25">
      <c r="A27" s="426" t="s">
        <v>88</v>
      </c>
      <c r="B27" s="194"/>
      <c r="C27" s="57"/>
      <c r="D27" s="57"/>
      <c r="E27" s="193"/>
      <c r="F27" s="181"/>
      <c r="G27" s="194"/>
      <c r="H27" s="57"/>
      <c r="I27" s="57"/>
      <c r="J27" s="193"/>
      <c r="K27" s="181"/>
      <c r="L27" s="194"/>
      <c r="M27" s="57"/>
      <c r="N27" s="57"/>
      <c r="O27" s="193"/>
      <c r="P27" s="181"/>
    </row>
    <row r="28" spans="1:19" ht="15" customHeight="1" x14ac:dyDescent="0.25">
      <c r="A28" s="426" t="s">
        <v>89</v>
      </c>
      <c r="B28" s="194"/>
      <c r="C28" s="57"/>
      <c r="D28" s="57"/>
      <c r="E28" s="193"/>
      <c r="F28" s="181"/>
      <c r="G28" s="194"/>
      <c r="H28" s="57"/>
      <c r="I28" s="57"/>
      <c r="J28" s="193"/>
      <c r="K28" s="181"/>
      <c r="L28" s="194"/>
      <c r="M28" s="57"/>
      <c r="N28" s="57"/>
      <c r="O28" s="193"/>
      <c r="P28" s="181"/>
    </row>
    <row r="29" spans="1:19" ht="15" customHeight="1" x14ac:dyDescent="0.25">
      <c r="A29" s="426" t="s">
        <v>90</v>
      </c>
      <c r="B29" s="197"/>
      <c r="C29" s="195"/>
      <c r="D29" s="195"/>
      <c r="E29" s="196"/>
      <c r="F29" s="185"/>
      <c r="G29" s="197"/>
      <c r="H29" s="195"/>
      <c r="I29" s="195"/>
      <c r="J29" s="196"/>
      <c r="K29" s="185"/>
      <c r="L29" s="197"/>
      <c r="M29" s="195"/>
      <c r="N29" s="195"/>
      <c r="O29" s="196"/>
      <c r="P29" s="185"/>
    </row>
    <row r="30" spans="1:19" ht="15" customHeight="1" x14ac:dyDescent="0.25">
      <c r="A30" s="428" t="s">
        <v>139</v>
      </c>
      <c r="B30" s="225"/>
      <c r="C30" s="225"/>
      <c r="D30" s="225"/>
      <c r="E30" s="225"/>
      <c r="F30" s="226"/>
      <c r="G30" s="225"/>
      <c r="H30" s="225"/>
      <c r="I30" s="225"/>
      <c r="J30" s="225"/>
      <c r="K30" s="226"/>
      <c r="L30" s="225"/>
      <c r="M30" s="225"/>
      <c r="N30" s="225"/>
      <c r="O30" s="225"/>
      <c r="P30" s="227"/>
    </row>
    <row r="31" spans="1:19" ht="15" customHeight="1" x14ac:dyDescent="0.25">
      <c r="A31" s="430" t="s">
        <v>101</v>
      </c>
      <c r="B31" s="192"/>
      <c r="C31" s="190"/>
      <c r="D31" s="190"/>
      <c r="E31" s="188"/>
      <c r="F31" s="191"/>
      <c r="G31" s="192"/>
      <c r="H31" s="190"/>
      <c r="I31" s="190"/>
      <c r="J31" s="188"/>
      <c r="K31" s="191"/>
      <c r="L31" s="192"/>
      <c r="M31" s="190"/>
      <c r="N31" s="190"/>
      <c r="O31" s="188"/>
      <c r="P31" s="191"/>
    </row>
    <row r="32" spans="1:19" ht="15" customHeight="1" x14ac:dyDescent="0.25">
      <c r="A32" s="426" t="s">
        <v>88</v>
      </c>
      <c r="B32" s="233">
        <f t="shared" ref="B32:E34" ca="1" si="8">ROUND(INDIRECT("'3.Прогноз.С корректировкой Таб7'!"&amp;B$1&amp;$R32),3)</f>
        <v>19.899999999999999</v>
      </c>
      <c r="C32" s="228">
        <f t="shared" ca="1" si="8"/>
        <v>19.899999999999999</v>
      </c>
      <c r="D32" s="228">
        <f t="shared" ca="1" si="8"/>
        <v>19.899999999999999</v>
      </c>
      <c r="E32" s="232">
        <f t="shared" ca="1" si="8"/>
        <v>19.88</v>
      </c>
      <c r="F32" s="181"/>
      <c r="G32" s="233">
        <f t="shared" ref="G32:J34" ca="1" si="9">ROUND(INDIRECT("'3.Прогноз.С корректировкой Таб7'!"&amp;G$1&amp;$R32),3)</f>
        <v>19.899999999999999</v>
      </c>
      <c r="H32" s="228">
        <f t="shared" ca="1" si="9"/>
        <v>19.899999999999999</v>
      </c>
      <c r="I32" s="228">
        <f t="shared" ca="1" si="9"/>
        <v>19.899999999999999</v>
      </c>
      <c r="J32" s="232">
        <f t="shared" ca="1" si="9"/>
        <v>19.88</v>
      </c>
      <c r="K32" s="181"/>
      <c r="L32" s="233">
        <f t="shared" ref="L32:O34" ca="1" si="10">ROUND(INDIRECT("'3.Прогноз.С корректировкой Таб7'!"&amp;L$1&amp;$R32),3)</f>
        <v>19.899999999999999</v>
      </c>
      <c r="M32" s="228">
        <f t="shared" ca="1" si="10"/>
        <v>19.899999999999999</v>
      </c>
      <c r="N32" s="228">
        <f t="shared" ca="1" si="10"/>
        <v>19.899999999999999</v>
      </c>
      <c r="O32" s="232">
        <f t="shared" ca="1" si="10"/>
        <v>19.88</v>
      </c>
      <c r="P32" s="181"/>
      <c r="R32" s="54">
        <f>ROW('3.Прогноз.С корректировкой Таб7'!A48)</f>
        <v>48</v>
      </c>
    </row>
    <row r="33" spans="1:19" ht="15" customHeight="1" x14ac:dyDescent="0.25">
      <c r="A33" s="426" t="s">
        <v>89</v>
      </c>
      <c r="B33" s="233">
        <f t="shared" ca="1" si="8"/>
        <v>4.6310000000000002</v>
      </c>
      <c r="C33" s="228">
        <f t="shared" ca="1" si="8"/>
        <v>4.601</v>
      </c>
      <c r="D33" s="228">
        <f t="shared" ca="1" si="8"/>
        <v>4.6399999999999997</v>
      </c>
      <c r="E33" s="232">
        <f t="shared" ca="1" si="8"/>
        <v>4.5949999999999998</v>
      </c>
      <c r="F33" s="181"/>
      <c r="G33" s="233">
        <f t="shared" ca="1" si="9"/>
        <v>4.6310000000000002</v>
      </c>
      <c r="H33" s="228">
        <f t="shared" ca="1" si="9"/>
        <v>4.601</v>
      </c>
      <c r="I33" s="228">
        <f t="shared" ca="1" si="9"/>
        <v>4.6399999999999997</v>
      </c>
      <c r="J33" s="232">
        <f t="shared" ca="1" si="9"/>
        <v>4.5949999999999998</v>
      </c>
      <c r="K33" s="181"/>
      <c r="L33" s="233">
        <f t="shared" ca="1" si="10"/>
        <v>4.6310000000000002</v>
      </c>
      <c r="M33" s="228">
        <f t="shared" ca="1" si="10"/>
        <v>4.601</v>
      </c>
      <c r="N33" s="228">
        <f t="shared" ca="1" si="10"/>
        <v>4.6399999999999997</v>
      </c>
      <c r="O33" s="232">
        <f t="shared" ca="1" si="10"/>
        <v>4.5949999999999998</v>
      </c>
      <c r="P33" s="181"/>
      <c r="R33" s="54">
        <f t="shared" ref="R33:R34" si="11">R32+S33</f>
        <v>53</v>
      </c>
      <c r="S33" s="54">
        <v>5</v>
      </c>
    </row>
    <row r="34" spans="1:19" ht="15" customHeight="1" x14ac:dyDescent="0.25">
      <c r="A34" s="426" t="s">
        <v>90</v>
      </c>
      <c r="B34" s="235">
        <f t="shared" ca="1" si="8"/>
        <v>0.55000000000000004</v>
      </c>
      <c r="C34" s="229">
        <f t="shared" ca="1" si="8"/>
        <v>0.55000000000000004</v>
      </c>
      <c r="D34" s="229">
        <f t="shared" ca="1" si="8"/>
        <v>0.55000000000000004</v>
      </c>
      <c r="E34" s="234">
        <f t="shared" ca="1" si="8"/>
        <v>0.55000000000000004</v>
      </c>
      <c r="F34" s="185"/>
      <c r="G34" s="235">
        <f t="shared" ca="1" si="9"/>
        <v>0.55000000000000004</v>
      </c>
      <c r="H34" s="229">
        <f t="shared" ca="1" si="9"/>
        <v>0.55000000000000004</v>
      </c>
      <c r="I34" s="229">
        <f t="shared" ca="1" si="9"/>
        <v>0.55000000000000004</v>
      </c>
      <c r="J34" s="234">
        <f t="shared" ca="1" si="9"/>
        <v>0.55000000000000004</v>
      </c>
      <c r="K34" s="185"/>
      <c r="L34" s="235">
        <f t="shared" ca="1" si="10"/>
        <v>0.55000000000000004</v>
      </c>
      <c r="M34" s="229">
        <f t="shared" ca="1" si="10"/>
        <v>0.55000000000000004</v>
      </c>
      <c r="N34" s="229">
        <f t="shared" ca="1" si="10"/>
        <v>0.55000000000000004</v>
      </c>
      <c r="O34" s="234">
        <f t="shared" ca="1" si="10"/>
        <v>0.55000000000000004</v>
      </c>
      <c r="P34" s="185"/>
      <c r="R34" s="54">
        <f t="shared" si="11"/>
        <v>58</v>
      </c>
      <c r="S34" s="54">
        <v>5</v>
      </c>
    </row>
    <row r="35" spans="1:19" ht="15" customHeight="1" x14ac:dyDescent="0.25">
      <c r="A35" s="397" t="s">
        <v>140</v>
      </c>
      <c r="B35" s="225"/>
      <c r="C35" s="225"/>
      <c r="D35" s="225"/>
      <c r="E35" s="225"/>
      <c r="F35" s="226"/>
      <c r="G35" s="225"/>
      <c r="H35" s="225"/>
      <c r="I35" s="225"/>
      <c r="J35" s="225"/>
      <c r="K35" s="226"/>
      <c r="L35" s="225"/>
      <c r="M35" s="225"/>
      <c r="N35" s="225"/>
      <c r="O35" s="225"/>
      <c r="P35" s="227"/>
    </row>
    <row r="36" spans="1:19" ht="15" customHeight="1" x14ac:dyDescent="0.25">
      <c r="A36" s="430" t="s">
        <v>101</v>
      </c>
      <c r="B36" s="192"/>
      <c r="C36" s="190"/>
      <c r="D36" s="190"/>
      <c r="E36" s="188"/>
      <c r="F36" s="191"/>
      <c r="G36" s="192"/>
      <c r="H36" s="190"/>
      <c r="I36" s="190"/>
      <c r="J36" s="188"/>
      <c r="K36" s="191"/>
      <c r="L36" s="192"/>
      <c r="M36" s="190"/>
      <c r="N36" s="190"/>
      <c r="O36" s="188"/>
      <c r="P36" s="191"/>
    </row>
    <row r="37" spans="1:19" ht="15" customHeight="1" x14ac:dyDescent="0.25">
      <c r="A37" s="426" t="s">
        <v>88</v>
      </c>
      <c r="B37" s="233">
        <f t="shared" ref="B37:E39" ca="1" si="12">ROUND(INDIRECT("'3.Прогноз.С корректировкой Таб7'!"&amp;B$1&amp;$R37),3)</f>
        <v>0</v>
      </c>
      <c r="C37" s="228">
        <f t="shared" ca="1" si="12"/>
        <v>0</v>
      </c>
      <c r="D37" s="228">
        <f t="shared" ca="1" si="12"/>
        <v>0</v>
      </c>
      <c r="E37" s="232">
        <f t="shared" ca="1" si="12"/>
        <v>0</v>
      </c>
      <c r="F37" s="181"/>
      <c r="G37" s="233">
        <f t="shared" ref="G37:J39" ca="1" si="13">ROUND(INDIRECT("'3.Прогноз.С корректировкой Таб7'!"&amp;G$1&amp;$R37),3)</f>
        <v>0</v>
      </c>
      <c r="H37" s="228">
        <f t="shared" ca="1" si="13"/>
        <v>0</v>
      </c>
      <c r="I37" s="228">
        <f t="shared" ca="1" si="13"/>
        <v>0</v>
      </c>
      <c r="J37" s="232">
        <f t="shared" ca="1" si="13"/>
        <v>0</v>
      </c>
      <c r="K37" s="181"/>
      <c r="L37" s="233">
        <f t="shared" ref="L37:O39" ca="1" si="14">ROUND(INDIRECT("'3.Прогноз.С корректировкой Таб7'!"&amp;L$1&amp;$R37),3)</f>
        <v>0</v>
      </c>
      <c r="M37" s="228">
        <f t="shared" ca="1" si="14"/>
        <v>0</v>
      </c>
      <c r="N37" s="228">
        <f t="shared" ca="1" si="14"/>
        <v>0</v>
      </c>
      <c r="O37" s="232">
        <f t="shared" ca="1" si="14"/>
        <v>0</v>
      </c>
      <c r="P37" s="181"/>
      <c r="R37" s="54">
        <v>64</v>
      </c>
    </row>
    <row r="38" spans="1:19" ht="15" customHeight="1" x14ac:dyDescent="0.25">
      <c r="A38" s="426" t="s">
        <v>89</v>
      </c>
      <c r="B38" s="233">
        <f t="shared" ca="1" si="12"/>
        <v>0</v>
      </c>
      <c r="C38" s="228">
        <f t="shared" ca="1" si="12"/>
        <v>0</v>
      </c>
      <c r="D38" s="228">
        <f t="shared" ca="1" si="12"/>
        <v>0</v>
      </c>
      <c r="E38" s="232">
        <f t="shared" ca="1" si="12"/>
        <v>0</v>
      </c>
      <c r="F38" s="181"/>
      <c r="G38" s="233">
        <f t="shared" ca="1" si="13"/>
        <v>0</v>
      </c>
      <c r="H38" s="228">
        <f t="shared" ca="1" si="13"/>
        <v>0</v>
      </c>
      <c r="I38" s="228">
        <f t="shared" ca="1" si="13"/>
        <v>0</v>
      </c>
      <c r="J38" s="232">
        <f t="shared" ca="1" si="13"/>
        <v>0</v>
      </c>
      <c r="K38" s="181"/>
      <c r="L38" s="233">
        <f t="shared" ca="1" si="14"/>
        <v>0</v>
      </c>
      <c r="M38" s="228">
        <f t="shared" ca="1" si="14"/>
        <v>0</v>
      </c>
      <c r="N38" s="228">
        <f t="shared" ca="1" si="14"/>
        <v>0</v>
      </c>
      <c r="O38" s="232">
        <f t="shared" ca="1" si="14"/>
        <v>0</v>
      </c>
      <c r="P38" s="181"/>
      <c r="R38" s="54">
        <f t="shared" ref="R38:R39" si="15">R37+S38</f>
        <v>69</v>
      </c>
      <c r="S38" s="54">
        <v>5</v>
      </c>
    </row>
    <row r="39" spans="1:19" ht="15" customHeight="1" x14ac:dyDescent="0.25">
      <c r="A39" s="426" t="s">
        <v>90</v>
      </c>
      <c r="B39" s="235">
        <f t="shared" ca="1" si="12"/>
        <v>0</v>
      </c>
      <c r="C39" s="229">
        <f t="shared" ca="1" si="12"/>
        <v>0</v>
      </c>
      <c r="D39" s="229">
        <f t="shared" ca="1" si="12"/>
        <v>0</v>
      </c>
      <c r="E39" s="234">
        <f t="shared" ca="1" si="12"/>
        <v>0</v>
      </c>
      <c r="F39" s="185"/>
      <c r="G39" s="235">
        <f t="shared" ca="1" si="13"/>
        <v>0</v>
      </c>
      <c r="H39" s="229">
        <f t="shared" ca="1" si="13"/>
        <v>0</v>
      </c>
      <c r="I39" s="229">
        <f t="shared" ca="1" si="13"/>
        <v>0</v>
      </c>
      <c r="J39" s="234">
        <f t="shared" ca="1" si="13"/>
        <v>0</v>
      </c>
      <c r="K39" s="185"/>
      <c r="L39" s="235">
        <f t="shared" ca="1" si="14"/>
        <v>0</v>
      </c>
      <c r="M39" s="229">
        <f t="shared" ca="1" si="14"/>
        <v>0</v>
      </c>
      <c r="N39" s="229">
        <f t="shared" ca="1" si="14"/>
        <v>0</v>
      </c>
      <c r="O39" s="234">
        <f t="shared" ca="1" si="14"/>
        <v>0</v>
      </c>
      <c r="P39" s="185"/>
      <c r="R39" s="54">
        <f t="shared" si="15"/>
        <v>74</v>
      </c>
      <c r="S39" s="54">
        <v>5</v>
      </c>
    </row>
    <row r="40" spans="1:19" ht="15" customHeight="1" x14ac:dyDescent="0.25">
      <c r="A40" s="428" t="s">
        <v>5</v>
      </c>
      <c r="B40" s="225"/>
      <c r="C40" s="225"/>
      <c r="D40" s="225"/>
      <c r="E40" s="225"/>
      <c r="F40" s="226"/>
      <c r="G40" s="225"/>
      <c r="H40" s="225"/>
      <c r="I40" s="225"/>
      <c r="J40" s="225"/>
      <c r="K40" s="226"/>
      <c r="L40" s="225"/>
      <c r="M40" s="225"/>
      <c r="N40" s="225"/>
      <c r="O40" s="225"/>
      <c r="P40" s="227"/>
    </row>
    <row r="41" spans="1:19" ht="15" customHeight="1" x14ac:dyDescent="0.25">
      <c r="A41" s="425" t="s">
        <v>101</v>
      </c>
      <c r="B41" s="189"/>
      <c r="C41" s="190"/>
      <c r="D41" s="190"/>
      <c r="E41" s="198"/>
      <c r="F41" s="191"/>
      <c r="G41" s="189"/>
      <c r="H41" s="190"/>
      <c r="I41" s="190"/>
      <c r="J41" s="198"/>
      <c r="K41" s="191"/>
      <c r="L41" s="189"/>
      <c r="M41" s="190"/>
      <c r="N41" s="190"/>
      <c r="O41" s="198"/>
      <c r="P41" s="191"/>
    </row>
    <row r="42" spans="1:19" ht="15" customHeight="1" x14ac:dyDescent="0.25">
      <c r="A42" s="426" t="s">
        <v>88</v>
      </c>
      <c r="B42" s="233">
        <f t="shared" ref="B42:E44" ca="1" si="16">ROUND(INDIRECT("'3.Прогноз.С корректировкой Таб7'!"&amp;B$1&amp;$R42),3)</f>
        <v>0</v>
      </c>
      <c r="C42" s="228">
        <f t="shared" ca="1" si="16"/>
        <v>0</v>
      </c>
      <c r="D42" s="228">
        <f t="shared" ca="1" si="16"/>
        <v>0</v>
      </c>
      <c r="E42" s="232">
        <f t="shared" ca="1" si="16"/>
        <v>0</v>
      </c>
      <c r="F42" s="181"/>
      <c r="G42" s="233">
        <f t="shared" ref="G42:J44" ca="1" si="17">ROUND(INDIRECT("'3.Прогноз.С корректировкой Таб7'!"&amp;G$1&amp;$R42),3)</f>
        <v>0</v>
      </c>
      <c r="H42" s="228">
        <f t="shared" ca="1" si="17"/>
        <v>0</v>
      </c>
      <c r="I42" s="228">
        <f t="shared" ca="1" si="17"/>
        <v>0</v>
      </c>
      <c r="J42" s="232">
        <f t="shared" ca="1" si="17"/>
        <v>0</v>
      </c>
      <c r="K42" s="181"/>
      <c r="L42" s="233">
        <f t="shared" ref="L42:O44" ca="1" si="18">ROUND(INDIRECT("'3.Прогноз.С корректировкой Таб7'!"&amp;L$1&amp;$R42),3)</f>
        <v>0</v>
      </c>
      <c r="M42" s="228">
        <f t="shared" ca="1" si="18"/>
        <v>0</v>
      </c>
      <c r="N42" s="228">
        <f t="shared" ca="1" si="18"/>
        <v>0</v>
      </c>
      <c r="O42" s="232">
        <f t="shared" ca="1" si="18"/>
        <v>0</v>
      </c>
      <c r="P42" s="181"/>
      <c r="R42" s="54">
        <f>ROW('3.Прогноз.С корректировкой Таб7'!A80)</f>
        <v>80</v>
      </c>
    </row>
    <row r="43" spans="1:19" ht="15" customHeight="1" x14ac:dyDescent="0.25">
      <c r="A43" s="426" t="s">
        <v>89</v>
      </c>
      <c r="B43" s="233">
        <f t="shared" ca="1" si="16"/>
        <v>0</v>
      </c>
      <c r="C43" s="228">
        <f t="shared" ca="1" si="16"/>
        <v>0</v>
      </c>
      <c r="D43" s="228">
        <f t="shared" ca="1" si="16"/>
        <v>0</v>
      </c>
      <c r="E43" s="232">
        <f t="shared" ca="1" si="16"/>
        <v>0</v>
      </c>
      <c r="F43" s="181"/>
      <c r="G43" s="233">
        <f t="shared" ca="1" si="17"/>
        <v>0</v>
      </c>
      <c r="H43" s="228">
        <f t="shared" ca="1" si="17"/>
        <v>0</v>
      </c>
      <c r="I43" s="228">
        <f t="shared" ca="1" si="17"/>
        <v>0</v>
      </c>
      <c r="J43" s="232">
        <f t="shared" ca="1" si="17"/>
        <v>0</v>
      </c>
      <c r="K43" s="181"/>
      <c r="L43" s="233">
        <f t="shared" ca="1" si="18"/>
        <v>0</v>
      </c>
      <c r="M43" s="228">
        <f t="shared" ca="1" si="18"/>
        <v>0</v>
      </c>
      <c r="N43" s="228">
        <f t="shared" ca="1" si="18"/>
        <v>0</v>
      </c>
      <c r="O43" s="232">
        <f t="shared" ca="1" si="18"/>
        <v>0</v>
      </c>
      <c r="P43" s="181"/>
      <c r="R43" s="54">
        <f t="shared" ref="R43:R44" si="19">R42+S43</f>
        <v>82</v>
      </c>
      <c r="S43" s="54">
        <v>2</v>
      </c>
    </row>
    <row r="44" spans="1:19" ht="15" customHeight="1" x14ac:dyDescent="0.25">
      <c r="A44" s="426" t="s">
        <v>90</v>
      </c>
      <c r="B44" s="235">
        <f t="shared" ca="1" si="16"/>
        <v>0</v>
      </c>
      <c r="C44" s="229">
        <f t="shared" ca="1" si="16"/>
        <v>0</v>
      </c>
      <c r="D44" s="229">
        <f t="shared" ca="1" si="16"/>
        <v>0</v>
      </c>
      <c r="E44" s="234">
        <f t="shared" ca="1" si="16"/>
        <v>0</v>
      </c>
      <c r="F44" s="185"/>
      <c r="G44" s="235">
        <f t="shared" ca="1" si="17"/>
        <v>0</v>
      </c>
      <c r="H44" s="229">
        <f t="shared" ca="1" si="17"/>
        <v>0</v>
      </c>
      <c r="I44" s="229">
        <f t="shared" ca="1" si="17"/>
        <v>0</v>
      </c>
      <c r="J44" s="234">
        <f t="shared" ca="1" si="17"/>
        <v>0</v>
      </c>
      <c r="K44" s="185"/>
      <c r="L44" s="235">
        <f t="shared" ca="1" si="18"/>
        <v>0</v>
      </c>
      <c r="M44" s="229">
        <f t="shared" ca="1" si="18"/>
        <v>0</v>
      </c>
      <c r="N44" s="229">
        <f t="shared" ca="1" si="18"/>
        <v>0</v>
      </c>
      <c r="O44" s="234">
        <f t="shared" ca="1" si="18"/>
        <v>0</v>
      </c>
      <c r="P44" s="185"/>
      <c r="R44" s="54">
        <f t="shared" si="19"/>
        <v>84</v>
      </c>
      <c r="S44" s="54">
        <v>2</v>
      </c>
    </row>
    <row r="45" spans="1:19" ht="15" customHeight="1" x14ac:dyDescent="0.25">
      <c r="A45" s="428" t="s">
        <v>68</v>
      </c>
      <c r="B45" s="225"/>
      <c r="C45" s="225"/>
      <c r="D45" s="225"/>
      <c r="E45" s="225"/>
      <c r="F45" s="226"/>
      <c r="G45" s="225"/>
      <c r="H45" s="225"/>
      <c r="I45" s="225"/>
      <c r="J45" s="225"/>
      <c r="K45" s="226"/>
      <c r="L45" s="225"/>
      <c r="M45" s="225"/>
      <c r="N45" s="225"/>
      <c r="O45" s="225"/>
      <c r="P45" s="227"/>
    </row>
    <row r="46" spans="1:19" ht="15" customHeight="1" x14ac:dyDescent="0.25">
      <c r="A46" s="425" t="s">
        <v>101</v>
      </c>
      <c r="B46" s="192"/>
      <c r="C46" s="190"/>
      <c r="D46" s="190"/>
      <c r="E46" s="188"/>
      <c r="F46" s="191"/>
      <c r="G46" s="192"/>
      <c r="H46" s="190"/>
      <c r="I46" s="190"/>
      <c r="J46" s="188"/>
      <c r="K46" s="191"/>
      <c r="L46" s="192"/>
      <c r="M46" s="190"/>
      <c r="N46" s="190"/>
      <c r="O46" s="188"/>
      <c r="P46" s="191"/>
    </row>
    <row r="47" spans="1:19" ht="15" customHeight="1" x14ac:dyDescent="0.25">
      <c r="A47" s="426" t="s">
        <v>88</v>
      </c>
      <c r="B47" s="233">
        <f t="shared" ref="B47:E49" ca="1" si="20">ROUND(INDIRECT("'3.Прогноз.С корректировкой Таб7'!"&amp;B$1&amp;$R47),3)</f>
        <v>4.7</v>
      </c>
      <c r="C47" s="228">
        <f t="shared" ca="1" si="20"/>
        <v>4.7</v>
      </c>
      <c r="D47" s="228">
        <f t="shared" ca="1" si="20"/>
        <v>4.7</v>
      </c>
      <c r="E47" s="232">
        <f t="shared" ca="1" si="20"/>
        <v>4.7</v>
      </c>
      <c r="F47" s="181"/>
      <c r="G47" s="233">
        <f t="shared" ref="G47:J49" ca="1" si="21">ROUND(INDIRECT("'3.Прогноз.С корректировкой Таб7'!"&amp;G$1&amp;$R47),3)</f>
        <v>4.7</v>
      </c>
      <c r="H47" s="228">
        <f t="shared" ca="1" si="21"/>
        <v>4.7</v>
      </c>
      <c r="I47" s="228">
        <f t="shared" ca="1" si="21"/>
        <v>4.7</v>
      </c>
      <c r="J47" s="232">
        <f t="shared" ca="1" si="21"/>
        <v>4.7</v>
      </c>
      <c r="K47" s="181"/>
      <c r="L47" s="233">
        <f t="shared" ref="L47:O49" ca="1" si="22">ROUND(INDIRECT("'3.Прогноз.С корректировкой Таб7'!"&amp;L$1&amp;$R47),3)</f>
        <v>4.7</v>
      </c>
      <c r="M47" s="228">
        <f t="shared" ca="1" si="22"/>
        <v>4.7</v>
      </c>
      <c r="N47" s="228">
        <f t="shared" ca="1" si="22"/>
        <v>4.7</v>
      </c>
      <c r="O47" s="232">
        <f t="shared" ca="1" si="22"/>
        <v>4.7</v>
      </c>
      <c r="P47" s="181"/>
      <c r="R47" s="54">
        <f>ROW('3.Прогноз.С корректировкой Таб7'!A87)</f>
        <v>87</v>
      </c>
    </row>
    <row r="48" spans="1:19" ht="15" customHeight="1" x14ac:dyDescent="0.25">
      <c r="A48" s="426" t="s">
        <v>89</v>
      </c>
      <c r="B48" s="233">
        <f t="shared" ca="1" si="20"/>
        <v>1.7999999999999999E-2</v>
      </c>
      <c r="C48" s="228">
        <f t="shared" ca="1" si="20"/>
        <v>0.03</v>
      </c>
      <c r="D48" s="228">
        <f t="shared" ca="1" si="20"/>
        <v>0.04</v>
      </c>
      <c r="E48" s="232">
        <f t="shared" ca="1" si="20"/>
        <v>3.5000000000000003E-2</v>
      </c>
      <c r="F48" s="181"/>
      <c r="G48" s="233">
        <f t="shared" ca="1" si="21"/>
        <v>1.9E-2</v>
      </c>
      <c r="H48" s="228">
        <f t="shared" ca="1" si="21"/>
        <v>0.03</v>
      </c>
      <c r="I48" s="228">
        <f t="shared" ca="1" si="21"/>
        <v>0.04</v>
      </c>
      <c r="J48" s="232">
        <f t="shared" ca="1" si="21"/>
        <v>3.5000000000000003E-2</v>
      </c>
      <c r="K48" s="181"/>
      <c r="L48" s="233">
        <f t="shared" ca="1" si="22"/>
        <v>0.02</v>
      </c>
      <c r="M48" s="228">
        <f t="shared" ca="1" si="22"/>
        <v>0.03</v>
      </c>
      <c r="N48" s="228">
        <f t="shared" ca="1" si="22"/>
        <v>4.2000000000000003E-2</v>
      </c>
      <c r="O48" s="232">
        <f t="shared" ca="1" si="22"/>
        <v>0.04</v>
      </c>
      <c r="P48" s="181"/>
      <c r="R48" s="54">
        <f t="shared" ref="R48:R49" si="23">R47+S48</f>
        <v>90</v>
      </c>
      <c r="S48" s="54">
        <v>3</v>
      </c>
    </row>
    <row r="49" spans="1:19" ht="15" customHeight="1" x14ac:dyDescent="0.25">
      <c r="A49" s="426" t="s">
        <v>90</v>
      </c>
      <c r="B49" s="235">
        <f t="shared" ca="1" si="20"/>
        <v>0.01</v>
      </c>
      <c r="C49" s="229">
        <f t="shared" ca="1" si="20"/>
        <v>0.01</v>
      </c>
      <c r="D49" s="229">
        <f t="shared" ca="1" si="20"/>
        <v>0.01</v>
      </c>
      <c r="E49" s="234">
        <f t="shared" ca="1" si="20"/>
        <v>0.01</v>
      </c>
      <c r="F49" s="185"/>
      <c r="G49" s="235">
        <f t="shared" ca="1" si="21"/>
        <v>0.01</v>
      </c>
      <c r="H49" s="229">
        <f t="shared" ca="1" si="21"/>
        <v>0.01</v>
      </c>
      <c r="I49" s="229">
        <f t="shared" ca="1" si="21"/>
        <v>0.01</v>
      </c>
      <c r="J49" s="234">
        <f t="shared" ca="1" si="21"/>
        <v>0.01</v>
      </c>
      <c r="K49" s="185"/>
      <c r="L49" s="235">
        <f t="shared" ca="1" si="22"/>
        <v>0.01</v>
      </c>
      <c r="M49" s="229">
        <f t="shared" ca="1" si="22"/>
        <v>0.01</v>
      </c>
      <c r="N49" s="229">
        <f t="shared" ca="1" si="22"/>
        <v>0.01</v>
      </c>
      <c r="O49" s="234">
        <f t="shared" ca="1" si="22"/>
        <v>0.01</v>
      </c>
      <c r="P49" s="185"/>
      <c r="R49" s="54">
        <f t="shared" si="23"/>
        <v>93</v>
      </c>
      <c r="S49" s="54">
        <v>3</v>
      </c>
    </row>
    <row r="50" spans="1:19" ht="15" customHeight="1" x14ac:dyDescent="0.25">
      <c r="A50" s="428" t="s">
        <v>6</v>
      </c>
      <c r="B50" s="225"/>
      <c r="C50" s="225"/>
      <c r="D50" s="225"/>
      <c r="E50" s="225"/>
      <c r="F50" s="226"/>
      <c r="G50" s="225"/>
      <c r="H50" s="225"/>
      <c r="I50" s="225"/>
      <c r="J50" s="225"/>
      <c r="K50" s="226"/>
      <c r="L50" s="225"/>
      <c r="M50" s="225"/>
      <c r="N50" s="225"/>
      <c r="O50" s="225"/>
      <c r="P50" s="227"/>
    </row>
    <row r="51" spans="1:19" ht="15" customHeight="1" x14ac:dyDescent="0.25">
      <c r="A51" s="425" t="s">
        <v>101</v>
      </c>
      <c r="B51" s="192"/>
      <c r="C51" s="190"/>
      <c r="D51" s="190"/>
      <c r="E51" s="188"/>
      <c r="F51" s="191"/>
      <c r="G51" s="192"/>
      <c r="H51" s="190"/>
      <c r="I51" s="190"/>
      <c r="J51" s="188"/>
      <c r="K51" s="191"/>
      <c r="L51" s="192"/>
      <c r="M51" s="190"/>
      <c r="N51" s="190"/>
      <c r="O51" s="188"/>
      <c r="P51" s="191"/>
    </row>
    <row r="52" spans="1:19" ht="15" customHeight="1" x14ac:dyDescent="0.25">
      <c r="A52" s="426" t="s">
        <v>88</v>
      </c>
      <c r="B52" s="233">
        <f t="shared" ref="B52:E54" ca="1" si="24">ROUND(INDIRECT("'3.Прогноз.С корректировкой Таб7'!"&amp;B$1&amp;$R52),3)</f>
        <v>1.171</v>
      </c>
      <c r="C52" s="228">
        <f t="shared" ca="1" si="24"/>
        <v>1.171</v>
      </c>
      <c r="D52" s="228">
        <f t="shared" ca="1" si="24"/>
        <v>1.157</v>
      </c>
      <c r="E52" s="232">
        <f t="shared" ca="1" si="24"/>
        <v>1.1659999999999999</v>
      </c>
      <c r="F52" s="181"/>
      <c r="G52" s="233">
        <f t="shared" ref="G52:J54" ca="1" si="25">ROUND(INDIRECT("'3.Прогноз.С корректировкой Таб7'!"&amp;G$1&amp;$R52),3)</f>
        <v>1.167</v>
      </c>
      <c r="H52" s="228">
        <f t="shared" ca="1" si="25"/>
        <v>1.1659999999999999</v>
      </c>
      <c r="I52" s="228">
        <f t="shared" ca="1" si="25"/>
        <v>1.153</v>
      </c>
      <c r="J52" s="232">
        <f t="shared" ca="1" si="25"/>
        <v>1.1619999999999999</v>
      </c>
      <c r="K52" s="181"/>
      <c r="L52" s="233">
        <f t="shared" ref="L52:O54" ca="1" si="26">ROUND(INDIRECT("'3.Прогноз.С корректировкой Таб7'!"&amp;L$1&amp;$R52),3)</f>
        <v>1.1619999999999999</v>
      </c>
      <c r="M52" s="228">
        <f t="shared" ca="1" si="26"/>
        <v>1.1619999999999999</v>
      </c>
      <c r="N52" s="228">
        <f t="shared" ca="1" si="26"/>
        <v>1.1479999999999999</v>
      </c>
      <c r="O52" s="232">
        <f t="shared" ca="1" si="26"/>
        <v>1.1579999999999999</v>
      </c>
      <c r="P52" s="181"/>
      <c r="R52" s="54">
        <f>ROW('3.Прогноз.С корректировкой Таб7'!A97)</f>
        <v>97</v>
      </c>
    </row>
    <row r="53" spans="1:19" ht="15" customHeight="1" x14ac:dyDescent="0.25">
      <c r="A53" s="426" t="s">
        <v>89</v>
      </c>
      <c r="B53" s="233">
        <f t="shared" ca="1" si="24"/>
        <v>0.53</v>
      </c>
      <c r="C53" s="228">
        <f t="shared" ca="1" si="24"/>
        <v>0.52500000000000002</v>
      </c>
      <c r="D53" s="228">
        <f t="shared" ca="1" si="24"/>
        <v>0.52400000000000002</v>
      </c>
      <c r="E53" s="232">
        <f t="shared" ca="1" si="24"/>
        <v>0.52400000000000002</v>
      </c>
      <c r="F53" s="181"/>
      <c r="G53" s="233">
        <f t="shared" ca="1" si="25"/>
        <v>0.52800000000000002</v>
      </c>
      <c r="H53" s="228">
        <f t="shared" ca="1" si="25"/>
        <v>0.52300000000000002</v>
      </c>
      <c r="I53" s="228">
        <f t="shared" ca="1" si="25"/>
        <v>0.52200000000000002</v>
      </c>
      <c r="J53" s="232">
        <f t="shared" ca="1" si="25"/>
        <v>0.52200000000000002</v>
      </c>
      <c r="K53" s="181"/>
      <c r="L53" s="233">
        <f t="shared" ca="1" si="26"/>
        <v>0.52600000000000002</v>
      </c>
      <c r="M53" s="228">
        <f t="shared" ca="1" si="26"/>
        <v>0.52100000000000002</v>
      </c>
      <c r="N53" s="228">
        <f t="shared" ca="1" si="26"/>
        <v>0.52</v>
      </c>
      <c r="O53" s="232">
        <f t="shared" ca="1" si="26"/>
        <v>0.52</v>
      </c>
      <c r="P53" s="181"/>
      <c r="R53" s="54">
        <f t="shared" ref="R53:R54" si="27">R52+S53</f>
        <v>100</v>
      </c>
      <c r="S53" s="54">
        <v>3</v>
      </c>
    </row>
    <row r="54" spans="1:19" ht="15" customHeight="1" x14ac:dyDescent="0.25">
      <c r="A54" s="426" t="s">
        <v>90</v>
      </c>
      <c r="B54" s="235">
        <f t="shared" ca="1" si="24"/>
        <v>0</v>
      </c>
      <c r="C54" s="229">
        <f t="shared" ca="1" si="24"/>
        <v>8.4000000000000005E-2</v>
      </c>
      <c r="D54" s="229">
        <f t="shared" ca="1" si="24"/>
        <v>0</v>
      </c>
      <c r="E54" s="234">
        <f t="shared" ca="1" si="24"/>
        <v>0</v>
      </c>
      <c r="F54" s="185"/>
      <c r="G54" s="235">
        <f t="shared" ca="1" si="25"/>
        <v>0</v>
      </c>
      <c r="H54" s="229">
        <f t="shared" ca="1" si="25"/>
        <v>8.4000000000000005E-2</v>
      </c>
      <c r="I54" s="229">
        <f t="shared" ca="1" si="25"/>
        <v>0</v>
      </c>
      <c r="J54" s="234">
        <f t="shared" ca="1" si="25"/>
        <v>0</v>
      </c>
      <c r="K54" s="185"/>
      <c r="L54" s="235">
        <f t="shared" ca="1" si="26"/>
        <v>0</v>
      </c>
      <c r="M54" s="229">
        <f t="shared" ca="1" si="26"/>
        <v>8.3000000000000004E-2</v>
      </c>
      <c r="N54" s="229">
        <f t="shared" ca="1" si="26"/>
        <v>0</v>
      </c>
      <c r="O54" s="234">
        <f t="shared" ca="1" si="26"/>
        <v>0</v>
      </c>
      <c r="P54" s="185"/>
      <c r="R54" s="54">
        <f t="shared" si="27"/>
        <v>103</v>
      </c>
      <c r="S54" s="54">
        <v>3</v>
      </c>
    </row>
    <row r="55" spans="1:19" ht="15" customHeight="1" x14ac:dyDescent="0.25">
      <c r="A55" s="428" t="s">
        <v>67</v>
      </c>
      <c r="B55" s="225"/>
      <c r="C55" s="225"/>
      <c r="D55" s="225"/>
      <c r="E55" s="225"/>
      <c r="F55" s="226"/>
      <c r="G55" s="225"/>
      <c r="H55" s="225"/>
      <c r="I55" s="225"/>
      <c r="J55" s="225"/>
      <c r="K55" s="226"/>
      <c r="L55" s="225"/>
      <c r="M55" s="225"/>
      <c r="N55" s="225"/>
      <c r="O55" s="225"/>
      <c r="P55" s="227"/>
    </row>
    <row r="56" spans="1:19" ht="15" customHeight="1" x14ac:dyDescent="0.25">
      <c r="A56" s="425" t="s">
        <v>101</v>
      </c>
      <c r="B56" s="192"/>
      <c r="C56" s="176"/>
      <c r="D56" s="176"/>
      <c r="E56" s="188"/>
      <c r="F56" s="178"/>
      <c r="G56" s="192"/>
      <c r="H56" s="176"/>
      <c r="I56" s="176"/>
      <c r="J56" s="177"/>
      <c r="K56" s="178"/>
      <c r="L56" s="192"/>
      <c r="M56" s="176"/>
      <c r="N56" s="176"/>
      <c r="O56" s="177"/>
      <c r="P56" s="178"/>
    </row>
    <row r="57" spans="1:19" ht="15" customHeight="1" x14ac:dyDescent="0.25">
      <c r="A57" s="426" t="s">
        <v>88</v>
      </c>
      <c r="B57" s="201"/>
      <c r="C57" s="56"/>
      <c r="D57" s="56"/>
      <c r="E57" s="199"/>
      <c r="F57" s="200"/>
      <c r="G57" s="201"/>
      <c r="H57" s="56"/>
      <c r="I57" s="56"/>
      <c r="J57" s="199"/>
      <c r="K57" s="200"/>
      <c r="L57" s="201"/>
      <c r="M57" s="56"/>
      <c r="N57" s="56"/>
      <c r="O57" s="199"/>
      <c r="P57" s="200"/>
    </row>
    <row r="58" spans="1:19" ht="15" customHeight="1" x14ac:dyDescent="0.25">
      <c r="A58" s="426" t="s">
        <v>89</v>
      </c>
      <c r="B58" s="201"/>
      <c r="C58" s="56"/>
      <c r="D58" s="56"/>
      <c r="E58" s="199"/>
      <c r="F58" s="202"/>
      <c r="G58" s="201"/>
      <c r="H58" s="56"/>
      <c r="I58" s="56"/>
      <c r="J58" s="199"/>
      <c r="K58" s="202"/>
      <c r="L58" s="201"/>
      <c r="M58" s="56"/>
      <c r="N58" s="56"/>
      <c r="O58" s="199"/>
      <c r="P58" s="202"/>
    </row>
    <row r="59" spans="1:19" ht="15" customHeight="1" x14ac:dyDescent="0.25">
      <c r="A59" s="426" t="s">
        <v>90</v>
      </c>
      <c r="B59" s="206"/>
      <c r="C59" s="203"/>
      <c r="D59" s="203"/>
      <c r="E59" s="204"/>
      <c r="F59" s="205"/>
      <c r="G59" s="206"/>
      <c r="H59" s="203"/>
      <c r="I59" s="203"/>
      <c r="J59" s="204"/>
      <c r="K59" s="205"/>
      <c r="L59" s="206"/>
      <c r="M59" s="203"/>
      <c r="N59" s="203"/>
      <c r="O59" s="204"/>
      <c r="P59" s="205"/>
    </row>
    <row r="60" spans="1:19" ht="15" customHeight="1" x14ac:dyDescent="0.25">
      <c r="A60" s="428" t="s">
        <v>8</v>
      </c>
      <c r="B60" s="225"/>
      <c r="C60" s="225"/>
      <c r="D60" s="225"/>
      <c r="E60" s="225"/>
      <c r="F60" s="226"/>
      <c r="G60" s="225"/>
      <c r="H60" s="225"/>
      <c r="I60" s="225"/>
      <c r="J60" s="225"/>
      <c r="K60" s="226"/>
      <c r="L60" s="225"/>
      <c r="M60" s="225"/>
      <c r="N60" s="225"/>
      <c r="O60" s="225"/>
      <c r="P60" s="227"/>
    </row>
    <row r="61" spans="1:19" ht="15" customHeight="1" x14ac:dyDescent="0.25">
      <c r="A61" s="430" t="s">
        <v>101</v>
      </c>
      <c r="B61" s="179"/>
      <c r="C61" s="176"/>
      <c r="D61" s="176"/>
      <c r="E61" s="177"/>
      <c r="F61" s="178"/>
      <c r="G61" s="179"/>
      <c r="H61" s="176"/>
      <c r="I61" s="176"/>
      <c r="J61" s="177"/>
      <c r="K61" s="178"/>
      <c r="L61" s="179"/>
      <c r="M61" s="176"/>
      <c r="N61" s="176"/>
      <c r="O61" s="177"/>
      <c r="P61" s="178"/>
    </row>
    <row r="62" spans="1:19" ht="15" customHeight="1" x14ac:dyDescent="0.25">
      <c r="A62" s="426" t="s">
        <v>88</v>
      </c>
      <c r="B62" s="233">
        <f ca="1">B7+B12+B17-B32-B42-B47-B52</f>
        <v>4.0080000000000009</v>
      </c>
      <c r="C62" s="228">
        <f t="shared" ref="C62:E64" ca="1" si="28">B62+C12+C17-C32-C42-C47-C52</f>
        <v>3.9020000000000028</v>
      </c>
      <c r="D62" s="228">
        <f t="shared" ca="1" si="28"/>
        <v>3.8550000000000031</v>
      </c>
      <c r="E62" s="232">
        <f t="shared" ca="1" si="28"/>
        <v>3.8190000000000022</v>
      </c>
      <c r="F62" s="181"/>
      <c r="G62" s="236">
        <f ca="1">E62+G12+G17-G32-G42-G47-G52</f>
        <v>4.0120000000000049</v>
      </c>
      <c r="H62" s="228">
        <f t="shared" ref="H62:J64" ca="1" si="29">G62+H12+H17-H32-H42-H47-H52</f>
        <v>3.911000000000008</v>
      </c>
      <c r="I62" s="228">
        <f t="shared" ca="1" si="29"/>
        <v>3.8680000000000105</v>
      </c>
      <c r="J62" s="237">
        <f t="shared" ca="1" si="29"/>
        <v>3.836000000000011</v>
      </c>
      <c r="K62" s="181"/>
      <c r="L62" s="233">
        <f ca="1">J62+L12+L17-L32-L42-L47-L52</f>
        <v>4.0340000000000114</v>
      </c>
      <c r="M62" s="228">
        <f t="shared" ref="M62:O64" ca="1" si="30">L62+M12+M17-M32-M42-M47-M52</f>
        <v>3.9370000000000136</v>
      </c>
      <c r="N62" s="228">
        <f t="shared" ca="1" si="30"/>
        <v>3.8990000000000142</v>
      </c>
      <c r="O62" s="232">
        <f t="shared" ca="1" si="30"/>
        <v>3.8710000000000169</v>
      </c>
      <c r="P62" s="207"/>
      <c r="R62" s="54">
        <f>ROW('3.Прогноз.С корректировкой Таб7'!A111)</f>
        <v>111</v>
      </c>
    </row>
    <row r="63" spans="1:19" ht="15" customHeight="1" x14ac:dyDescent="0.25">
      <c r="A63" s="426" t="s">
        <v>89</v>
      </c>
      <c r="B63" s="233">
        <f ca="1">B8+B13+B18-B33-B43-B48-B53</f>
        <v>0.46300000000000008</v>
      </c>
      <c r="C63" s="228">
        <f t="shared" ca="1" si="28"/>
        <v>0.46800000000000053</v>
      </c>
      <c r="D63" s="228">
        <f t="shared" ca="1" si="28"/>
        <v>0.47100000000000097</v>
      </c>
      <c r="E63" s="237">
        <f t="shared" ca="1" si="28"/>
        <v>0.47600000000000109</v>
      </c>
      <c r="F63" s="181"/>
      <c r="G63" s="236">
        <f ca="1">E63+G13+G18-G33-G43-G48-G53</f>
        <v>0.46300000000000063</v>
      </c>
      <c r="H63" s="228">
        <f t="shared" ca="1" si="29"/>
        <v>0.46799999999999986</v>
      </c>
      <c r="I63" s="228">
        <f t="shared" ca="1" si="29"/>
        <v>0.47100000000000031</v>
      </c>
      <c r="J63" s="237">
        <f t="shared" ca="1" si="29"/>
        <v>0.47600000000000031</v>
      </c>
      <c r="K63" s="181"/>
      <c r="L63" s="233">
        <f ca="1">J63+L13+L18-L33-L43-L48-L53</f>
        <v>0.46399999999999975</v>
      </c>
      <c r="M63" s="228">
        <f t="shared" ca="1" si="30"/>
        <v>0.46899999999999953</v>
      </c>
      <c r="N63" s="228">
        <f t="shared" ca="1" si="30"/>
        <v>0.47199999999999975</v>
      </c>
      <c r="O63" s="232">
        <f t="shared" ca="1" si="30"/>
        <v>0.47699999999999987</v>
      </c>
      <c r="P63" s="207"/>
      <c r="R63" s="54">
        <f t="shared" ref="R63:R64" si="31">R62+S63</f>
        <v>112</v>
      </c>
      <c r="S63" s="54">
        <v>1</v>
      </c>
    </row>
    <row r="64" spans="1:19" ht="15" customHeight="1" thickBot="1" x14ac:dyDescent="0.3">
      <c r="A64" s="427" t="s">
        <v>90</v>
      </c>
      <c r="B64" s="235">
        <f ca="1">B9+B14+B19-B34-B44-B49-B54</f>
        <v>0.30099999999999993</v>
      </c>
      <c r="C64" s="229">
        <f t="shared" ca="1" si="28"/>
        <v>0.16399999999999987</v>
      </c>
      <c r="D64" s="229">
        <f t="shared" ca="1" si="28"/>
        <v>0.16099999999999981</v>
      </c>
      <c r="E64" s="405">
        <f t="shared" ca="1" si="28"/>
        <v>0.25799999999999979</v>
      </c>
      <c r="F64" s="185"/>
      <c r="G64" s="406">
        <f ca="1">E64+G14+G19-G34-G44-G49-G54</f>
        <v>0.25499999999999967</v>
      </c>
      <c r="H64" s="229">
        <f t="shared" ca="1" si="29"/>
        <v>0.11799999999999962</v>
      </c>
      <c r="I64" s="229">
        <f t="shared" ca="1" si="29"/>
        <v>0.11499999999999956</v>
      </c>
      <c r="J64" s="405">
        <f t="shared" ca="1" si="29"/>
        <v>0.21199999999999952</v>
      </c>
      <c r="K64" s="185"/>
      <c r="L64" s="406">
        <f ca="1">J64+L14+L19-L34-L44-L49-L54</f>
        <v>0.20899999999999941</v>
      </c>
      <c r="M64" s="229">
        <f t="shared" ca="1" si="30"/>
        <v>7.2999999999999357E-2</v>
      </c>
      <c r="N64" s="229">
        <f t="shared" ca="1" si="30"/>
        <v>6.9999999999999299E-2</v>
      </c>
      <c r="O64" s="405">
        <f t="shared" ca="1" si="30"/>
        <v>0.16699999999999915</v>
      </c>
      <c r="P64" s="407"/>
      <c r="R64" s="54">
        <f t="shared" si="31"/>
        <v>113</v>
      </c>
      <c r="S64" s="54">
        <v>1</v>
      </c>
    </row>
    <row r="65" spans="1:16" ht="15" customHeight="1" x14ac:dyDescent="0.25">
      <c r="A65" s="431" t="s">
        <v>66</v>
      </c>
      <c r="B65" s="408"/>
      <c r="C65" s="408"/>
      <c r="D65" s="408"/>
      <c r="E65" s="408"/>
      <c r="F65" s="409"/>
      <c r="G65" s="408"/>
      <c r="H65" s="408"/>
      <c r="I65" s="408"/>
      <c r="J65" s="408"/>
      <c r="K65" s="409"/>
      <c r="L65" s="408"/>
      <c r="M65" s="408"/>
      <c r="N65" s="408"/>
      <c r="O65" s="408"/>
      <c r="P65" s="410"/>
    </row>
    <row r="66" spans="1:16" ht="15" customHeight="1" x14ac:dyDescent="0.25">
      <c r="A66" s="425" t="s">
        <v>101</v>
      </c>
      <c r="B66" s="211"/>
      <c r="C66" s="208"/>
      <c r="D66" s="208"/>
      <c r="E66" s="209"/>
      <c r="F66" s="210"/>
      <c r="G66" s="211"/>
      <c r="H66" s="208"/>
      <c r="I66" s="208"/>
      <c r="J66" s="209"/>
      <c r="K66" s="210"/>
      <c r="L66" s="211"/>
      <c r="M66" s="208"/>
      <c r="N66" s="208"/>
      <c r="O66" s="209"/>
      <c r="P66" s="210"/>
    </row>
    <row r="67" spans="1:16" ht="15" customHeight="1" x14ac:dyDescent="0.25">
      <c r="A67" s="426" t="s">
        <v>88</v>
      </c>
      <c r="B67" s="214"/>
      <c r="C67" s="58"/>
      <c r="D67" s="58"/>
      <c r="E67" s="212"/>
      <c r="F67" s="213"/>
      <c r="G67" s="214"/>
      <c r="H67" s="58"/>
      <c r="I67" s="58"/>
      <c r="J67" s="212"/>
      <c r="K67" s="213"/>
      <c r="L67" s="214"/>
      <c r="M67" s="58"/>
      <c r="N67" s="58"/>
      <c r="O67" s="212"/>
      <c r="P67" s="213"/>
    </row>
    <row r="68" spans="1:16" ht="15" customHeight="1" x14ac:dyDescent="0.25">
      <c r="A68" s="426" t="s">
        <v>89</v>
      </c>
      <c r="B68" s="214"/>
      <c r="C68" s="58"/>
      <c r="D68" s="58"/>
      <c r="E68" s="212"/>
      <c r="F68" s="213"/>
      <c r="G68" s="214"/>
      <c r="H68" s="58"/>
      <c r="I68" s="58"/>
      <c r="J68" s="212"/>
      <c r="K68" s="213"/>
      <c r="L68" s="214"/>
      <c r="M68" s="58"/>
      <c r="N68" s="58"/>
      <c r="O68" s="212"/>
      <c r="P68" s="213"/>
    </row>
    <row r="69" spans="1:16" ht="15" customHeight="1" thickBot="1" x14ac:dyDescent="0.3">
      <c r="A69" s="432" t="s">
        <v>90</v>
      </c>
      <c r="B69" s="217"/>
      <c r="C69" s="104"/>
      <c r="D69" s="104"/>
      <c r="E69" s="215"/>
      <c r="F69" s="216"/>
      <c r="G69" s="217"/>
      <c r="H69" s="104"/>
      <c r="I69" s="104"/>
      <c r="J69" s="215"/>
      <c r="K69" s="216"/>
      <c r="L69" s="217"/>
      <c r="M69" s="104"/>
      <c r="N69" s="104"/>
      <c r="O69" s="215"/>
      <c r="P69" s="216"/>
    </row>
    <row r="70" spans="1:16" ht="15" customHeight="1" x14ac:dyDescent="0.25"/>
  </sheetData>
  <sheetProtection algorithmName="SHA-512" hashValue="LFwLBOmF2V6klNfLFCmHPKNXIGYcKh23NqSvmnIqFVBae+4CQVfqnIprTYNUF0wvg8AbF41Vc/sIGhxVMHEETw==" saltValue="/1lO4Gh702yU5531sLbo+A==" spinCount="100000" sheet="1" objects="1" scenarios="1"/>
  <mergeCells count="8">
    <mergeCell ref="K3:K4"/>
    <mergeCell ref="L3:O3"/>
    <mergeCell ref="P3:P4"/>
    <mergeCell ref="A1:A2"/>
    <mergeCell ref="A3:A4"/>
    <mergeCell ref="B3:E3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24"/>
  <sheetViews>
    <sheetView zoomScaleNormal="100" workbookViewId="0">
      <selection activeCell="E7" sqref="E7"/>
    </sheetView>
  </sheetViews>
  <sheetFormatPr defaultRowHeight="15" x14ac:dyDescent="0.25"/>
  <cols>
    <col min="1" max="1" width="64.7109375" customWidth="1"/>
    <col min="2" max="4" width="13.7109375" customWidth="1"/>
    <col min="5" max="5" width="66.85546875" customWidth="1"/>
    <col min="6" max="6" width="29.140625" customWidth="1"/>
  </cols>
  <sheetData>
    <row r="1" spans="1:6" x14ac:dyDescent="0.25">
      <c r="A1" s="557"/>
      <c r="B1" s="557"/>
      <c r="C1" s="557"/>
      <c r="D1" s="557"/>
      <c r="E1" s="557"/>
    </row>
    <row r="2" spans="1:6" ht="20.25" x14ac:dyDescent="0.3">
      <c r="A2" s="625" t="s">
        <v>141</v>
      </c>
      <c r="B2" s="625"/>
      <c r="C2" s="625"/>
      <c r="D2" s="625"/>
      <c r="E2" s="625"/>
    </row>
    <row r="3" spans="1:6" ht="15.75" thickBot="1" x14ac:dyDescent="0.3">
      <c r="A3" s="558"/>
      <c r="B3" s="558"/>
      <c r="C3" s="558"/>
      <c r="D3" s="558"/>
      <c r="E3" s="558"/>
    </row>
    <row r="4" spans="1:6" ht="31.9" customHeight="1" thickBot="1" x14ac:dyDescent="0.3">
      <c r="A4" s="559" t="s">
        <v>142</v>
      </c>
      <c r="B4" s="559" t="str">
        <f>(YEAR(Test_date)-1)&amp;" год"</f>
        <v>2018 год</v>
      </c>
      <c r="C4" s="559" t="str">
        <f>(LEFT(B4,4)+1)&amp;" год"</f>
        <v>2019 год</v>
      </c>
      <c r="D4" s="559" t="s">
        <v>143</v>
      </c>
      <c r="E4" s="560" t="s">
        <v>144</v>
      </c>
      <c r="F4" s="561"/>
    </row>
    <row r="5" spans="1:6" s="563" customFormat="1" ht="24.6" customHeight="1" thickBot="1" x14ac:dyDescent="0.35">
      <c r="A5" s="580" t="s">
        <v>43</v>
      </c>
      <c r="B5" s="581">
        <f>SUM(B6:B8)</f>
        <v>130.45499999999998</v>
      </c>
      <c r="C5" s="581">
        <f>SUM(C6:C8)</f>
        <v>130.61500000000001</v>
      </c>
      <c r="D5" s="581">
        <f>IFERROR(C5/B5*100-100,"")</f>
        <v>0.1226476562799661</v>
      </c>
      <c r="E5" s="582"/>
      <c r="F5" s="562" t="str">
        <f t="shared" ref="F5:F16" si="0">IF(OR($D5&gt;10,$D5&lt;-10),IF($D5="","",IF($E5="","Внесите комментарий!","")),"")</f>
        <v/>
      </c>
    </row>
    <row r="6" spans="1:6" s="563" customFormat="1" ht="24.6" customHeight="1" x14ac:dyDescent="0.3">
      <c r="A6" s="576" t="s">
        <v>44</v>
      </c>
      <c r="B6" s="577">
        <f>'1.Статистика'!M30</f>
        <v>4.4459999999999997</v>
      </c>
      <c r="C6" s="577">
        <f>'3.Прогноз.С корректировкой Таб7'!G9</f>
        <v>4.5990000000000002</v>
      </c>
      <c r="D6" s="577">
        <f t="shared" ref="D6:D16" si="1">IFERROR(C6/B6*100-100,"")</f>
        <v>3.4412955465587203</v>
      </c>
      <c r="E6" s="578"/>
      <c r="F6" s="562" t="str">
        <f t="shared" si="0"/>
        <v/>
      </c>
    </row>
    <row r="7" spans="1:6" s="563" customFormat="1" ht="24.6" customHeight="1" x14ac:dyDescent="0.3">
      <c r="A7" s="579" t="s">
        <v>103</v>
      </c>
      <c r="B7" s="567">
        <f>'1.Статистика'!M34</f>
        <v>11.182</v>
      </c>
      <c r="C7" s="567">
        <f>'3.Прогноз.С корректировкой Таб7'!G13</f>
        <v>3.67</v>
      </c>
      <c r="D7" s="567">
        <f t="shared" si="1"/>
        <v>-67.179395456984452</v>
      </c>
      <c r="E7" s="571"/>
      <c r="F7" s="562" t="str">
        <f t="shared" si="0"/>
        <v>Внесите комментарий!</v>
      </c>
    </row>
    <row r="8" spans="1:6" s="563" customFormat="1" ht="24.6" customHeight="1" x14ac:dyDescent="0.3">
      <c r="A8" s="579" t="s">
        <v>45</v>
      </c>
      <c r="B8" s="567">
        <f>'1.Статистика'!M38</f>
        <v>114.827</v>
      </c>
      <c r="C8" s="567">
        <f>'3.Прогноз.С корректировкой Таб7'!G29</f>
        <v>122.346</v>
      </c>
      <c r="D8" s="567">
        <f t="shared" si="1"/>
        <v>6.5481115068755713</v>
      </c>
      <c r="E8" s="571"/>
      <c r="F8" s="562" t="str">
        <f t="shared" si="0"/>
        <v/>
      </c>
    </row>
    <row r="9" spans="1:6" s="563" customFormat="1" ht="24.6" customHeight="1" x14ac:dyDescent="0.3">
      <c r="A9" s="564" t="s">
        <v>48</v>
      </c>
      <c r="B9" s="565">
        <f>SUM(B10,B13:B15)</f>
        <v>125.85599999999999</v>
      </c>
      <c r="C9" s="565">
        <f>SUM(C10,C13:C15)</f>
        <v>126.06200000000001</v>
      </c>
      <c r="D9" s="565">
        <f t="shared" si="1"/>
        <v>0.16367912534963125</v>
      </c>
      <c r="E9" s="583"/>
      <c r="F9" s="562" t="str">
        <f t="shared" si="0"/>
        <v/>
      </c>
    </row>
    <row r="10" spans="1:6" s="563" customFormat="1" ht="24.6" customHeight="1" x14ac:dyDescent="0.3">
      <c r="A10" s="566" t="s">
        <v>145</v>
      </c>
      <c r="B10" s="567">
        <f>SUM(B11:B12)</f>
        <v>98.917000000000002</v>
      </c>
      <c r="C10" s="567">
        <f>SUM(C11:C12)</f>
        <v>100.247</v>
      </c>
      <c r="D10" s="567">
        <f t="shared" si="1"/>
        <v>1.3445616021513018</v>
      </c>
      <c r="E10" s="584"/>
      <c r="F10" s="562" t="str">
        <f t="shared" si="0"/>
        <v/>
      </c>
    </row>
    <row r="11" spans="1:6" s="563" customFormat="1" ht="24.6" customHeight="1" x14ac:dyDescent="0.3">
      <c r="A11" s="568" t="s">
        <v>139</v>
      </c>
      <c r="B11" s="569">
        <f>'1.Статистика'!M50</f>
        <v>98.917000000000002</v>
      </c>
      <c r="C11" s="569">
        <f>'3.Прогноз.С корректировкой Таб7'!G47</f>
        <v>100.247</v>
      </c>
      <c r="D11" s="569">
        <f t="shared" si="1"/>
        <v>1.3445616021513018</v>
      </c>
      <c r="E11" s="570"/>
      <c r="F11" s="562" t="str">
        <f t="shared" si="0"/>
        <v/>
      </c>
    </row>
    <row r="12" spans="1:6" s="563" customFormat="1" ht="24.6" customHeight="1" x14ac:dyDescent="0.3">
      <c r="A12" s="568" t="s">
        <v>140</v>
      </c>
      <c r="B12" s="569">
        <f>'1.Статистика'!M54</f>
        <v>0</v>
      </c>
      <c r="C12" s="569">
        <f>'3.Прогноз.С корректировкой Таб7'!G63</f>
        <v>0</v>
      </c>
      <c r="D12" s="569" t="str">
        <f t="shared" si="1"/>
        <v/>
      </c>
      <c r="E12" s="570"/>
      <c r="F12" s="562" t="str">
        <f t="shared" si="0"/>
        <v/>
      </c>
    </row>
    <row r="13" spans="1:6" s="563" customFormat="1" ht="24.6" customHeight="1" x14ac:dyDescent="0.3">
      <c r="A13" s="566" t="s">
        <v>146</v>
      </c>
      <c r="B13" s="567">
        <f>'1.Статистика'!M58</f>
        <v>0</v>
      </c>
      <c r="C13" s="567">
        <f>'3.Прогноз.С корректировкой Таб7'!G79</f>
        <v>0</v>
      </c>
      <c r="D13" s="567" t="str">
        <f t="shared" si="1"/>
        <v/>
      </c>
      <c r="E13" s="571"/>
      <c r="F13" s="562" t="str">
        <f t="shared" si="0"/>
        <v/>
      </c>
    </row>
    <row r="14" spans="1:6" s="563" customFormat="1" ht="24.6" customHeight="1" x14ac:dyDescent="0.3">
      <c r="A14" s="566" t="s">
        <v>147</v>
      </c>
      <c r="B14" s="567">
        <f>'1.Статистика'!M62</f>
        <v>19.975000000000001</v>
      </c>
      <c r="C14" s="567">
        <f>'3.Прогноз.С корректировкой Таб7'!G86</f>
        <v>18.963000000000001</v>
      </c>
      <c r="D14" s="567">
        <f t="shared" si="1"/>
        <v>-5.0663329161451855</v>
      </c>
      <c r="E14" s="571"/>
      <c r="F14" s="562" t="str">
        <f t="shared" si="0"/>
        <v/>
      </c>
    </row>
    <row r="15" spans="1:6" ht="24.6" customHeight="1" x14ac:dyDescent="0.3">
      <c r="A15" s="566" t="s">
        <v>148</v>
      </c>
      <c r="B15" s="567">
        <f>'1.Статистика'!M66</f>
        <v>6.9640000000000004</v>
      </c>
      <c r="C15" s="567">
        <f>'3.Прогноз.С корректировкой Таб7'!G96</f>
        <v>6.8520000000000003</v>
      </c>
      <c r="D15" s="567">
        <f t="shared" si="1"/>
        <v>-1.6082711085582986</v>
      </c>
      <c r="E15" s="571"/>
      <c r="F15" s="562" t="str">
        <f t="shared" si="0"/>
        <v/>
      </c>
    </row>
    <row r="16" spans="1:6" ht="24.6" customHeight="1" thickBot="1" x14ac:dyDescent="0.35">
      <c r="A16" s="572" t="s">
        <v>58</v>
      </c>
      <c r="B16" s="573">
        <f>'1.Статистика'!M70</f>
        <v>4.5990000000000002</v>
      </c>
      <c r="C16" s="573">
        <f>'3.Прогноз.С корректировкой Таб7'!G110</f>
        <v>4.5529999999999999</v>
      </c>
      <c r="D16" s="573">
        <f t="shared" si="1"/>
        <v>-1.000217438573614</v>
      </c>
      <c r="E16" s="574"/>
      <c r="F16" s="562" t="str">
        <f t="shared" si="0"/>
        <v/>
      </c>
    </row>
    <row r="23" spans="5:6" ht="18.75" x14ac:dyDescent="0.3">
      <c r="E23" s="575"/>
      <c r="F23" s="575"/>
    </row>
    <row r="24" spans="5:6" ht="18.75" x14ac:dyDescent="0.3">
      <c r="F24" s="575"/>
    </row>
  </sheetData>
  <sheetProtection algorithmName="SHA-512" hashValue="uzfZpiCU0+Rywdi2IAnYv7riaKy134SdvQAHTngIorWTunSxq1zlj+YzogtgIIxfrtIwc+4MoVPtW4g9AwpVBg==" saltValue="IIQjbhxFx95z/sDcq70Vkw==" spinCount="100000" sheet="1" objects="1" scenarios="1"/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1.Статистика</vt:lpstr>
      <vt:lpstr>2. Прогноз. Без корректировки</vt:lpstr>
      <vt:lpstr>3.Прогноз.С корректировкой Таб7</vt:lpstr>
      <vt:lpstr>4. Комментарии</vt:lpstr>
      <vt:lpstr>Date</vt:lpstr>
      <vt:lpstr>DocN</vt:lpstr>
      <vt:lpstr>Test_date</vt:lpstr>
      <vt:lpstr>'1.Статистика'!Область_печати</vt:lpstr>
      <vt:lpstr>'2. Прогноз. Без корректировки'!Область_печати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Елизарова Галина Анатольевна</cp:lastModifiedBy>
  <cp:revision>11</cp:revision>
  <cp:lastPrinted>2020-04-09T05:03:45Z</cp:lastPrinted>
  <dcterms:created xsi:type="dcterms:W3CDTF">2006-09-16T00:00:00Z</dcterms:created>
  <dcterms:modified xsi:type="dcterms:W3CDTF">2020-04-09T05:05:50Z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