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workbookProtection workbookAlgorithmName="SHA-512" workbookHashValue="Ibxql8EFCEqQT1mjx6ai6OujRiTg74i0hDpBpwL3uAzxTImAnEcMQQcz5b9Cipn+zhw359ChKtEvE47bdTjG/w==" workbookSaltValue="6jYfxpy+XjDCv0sx1EEwCQ==" workbookSpinCount="100000" lockStructure="1"/>
  <bookViews>
    <workbookView xWindow="30" yWindow="630" windowWidth="17400" windowHeight="13080" tabRatio="806"/>
  </bookViews>
  <sheets>
    <sheet name="1. Статистика" sheetId="6" r:id="rId1"/>
    <sheet name="2. Прогноз. Без корректировки" sheetId="7" r:id="rId2"/>
    <sheet name="3.Прогноз.С корректировкой таб5" sheetId="13" r:id="rId3"/>
    <sheet name="Баланс " sheetId="16" state="veryHidden" r:id="rId4"/>
    <sheet name="4.Комментарий" sheetId="17" r:id="rId5"/>
  </sheets>
  <definedNames>
    <definedName name="Date">'Баланс '!$R$1</definedName>
    <definedName name="DocN">'Баланс '!$Q$1</definedName>
    <definedName name="Test_date">'Баланс '!$R$2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7" l="1"/>
  <c r="C4" i="17" s="1"/>
  <c r="R2" i="16"/>
  <c r="B3" i="16" s="1"/>
  <c r="P45" i="13"/>
  <c r="O45" i="13"/>
  <c r="N45" i="13"/>
  <c r="M45" i="13"/>
  <c r="K45" i="13"/>
  <c r="J45" i="13"/>
  <c r="I45" i="13"/>
  <c r="H45" i="13"/>
  <c r="F45" i="13"/>
  <c r="E45" i="13"/>
  <c r="D45" i="13"/>
  <c r="C45" i="13"/>
  <c r="F44" i="13"/>
  <c r="E44" i="13"/>
  <c r="E43" i="13" s="1"/>
  <c r="J44" i="13" s="1"/>
  <c r="J43" i="13" s="1"/>
  <c r="O44" i="13" s="1"/>
  <c r="O43" i="13" s="1"/>
  <c r="D44" i="13"/>
  <c r="D43" i="13" s="1"/>
  <c r="I44" i="13" s="1"/>
  <c r="I43" i="13" s="1"/>
  <c r="N44" i="13" s="1"/>
  <c r="N43" i="13" s="1"/>
  <c r="C44" i="13"/>
  <c r="F43" i="13"/>
  <c r="K44" i="13" s="1"/>
  <c r="K43" i="13" s="1"/>
  <c r="P44" i="13" s="1"/>
  <c r="P43" i="13" s="1"/>
  <c r="F41" i="13"/>
  <c r="E41" i="13"/>
  <c r="D41" i="13"/>
  <c r="C41" i="13"/>
  <c r="P37" i="13"/>
  <c r="O37" i="13"/>
  <c r="N37" i="13"/>
  <c r="M37" i="13"/>
  <c r="K37" i="13"/>
  <c r="J37" i="13"/>
  <c r="I37" i="13"/>
  <c r="H37" i="13"/>
  <c r="F37" i="13"/>
  <c r="E37" i="13"/>
  <c r="D37" i="13"/>
  <c r="C37" i="13"/>
  <c r="P36" i="13"/>
  <c r="O36" i="13"/>
  <c r="N36" i="13"/>
  <c r="M36" i="13"/>
  <c r="K36" i="13"/>
  <c r="J36" i="13"/>
  <c r="I36" i="13"/>
  <c r="H36" i="13"/>
  <c r="F36" i="13"/>
  <c r="E36" i="13"/>
  <c r="D36" i="13"/>
  <c r="C36" i="13"/>
  <c r="P35" i="13"/>
  <c r="O35" i="13"/>
  <c r="N35" i="13"/>
  <c r="M35" i="13"/>
  <c r="K35" i="13"/>
  <c r="J35" i="13"/>
  <c r="I35" i="13"/>
  <c r="H35" i="13"/>
  <c r="F35" i="13"/>
  <c r="E35" i="13"/>
  <c r="D35" i="13"/>
  <c r="C35" i="13"/>
  <c r="F34" i="13"/>
  <c r="E34" i="13"/>
  <c r="E33" i="13" s="1"/>
  <c r="J34" i="13" s="1"/>
  <c r="J33" i="13" s="1"/>
  <c r="O34" i="13" s="1"/>
  <c r="O33" i="13" s="1"/>
  <c r="D34" i="13"/>
  <c r="C34" i="13"/>
  <c r="F33" i="13"/>
  <c r="K34" i="13" s="1"/>
  <c r="K33" i="13" s="1"/>
  <c r="P34" i="13" s="1"/>
  <c r="P33" i="13" s="1"/>
  <c r="P32" i="13"/>
  <c r="O32" i="13"/>
  <c r="N32" i="13"/>
  <c r="M32" i="13"/>
  <c r="K32" i="13"/>
  <c r="J32" i="13"/>
  <c r="I32" i="13"/>
  <c r="H32" i="13"/>
  <c r="F32" i="13"/>
  <c r="E32" i="13"/>
  <c r="D32" i="13"/>
  <c r="C32" i="13"/>
  <c r="P31" i="13"/>
  <c r="O31" i="13"/>
  <c r="N31" i="13"/>
  <c r="M31" i="13"/>
  <c r="K31" i="13"/>
  <c r="J31" i="13"/>
  <c r="I31" i="13"/>
  <c r="H31" i="13"/>
  <c r="F31" i="13"/>
  <c r="E31" i="13"/>
  <c r="D31" i="13"/>
  <c r="C31" i="13"/>
  <c r="P30" i="13"/>
  <c r="O30" i="13"/>
  <c r="N30" i="13"/>
  <c r="M30" i="13"/>
  <c r="K30" i="13"/>
  <c r="J30" i="13"/>
  <c r="I30" i="13"/>
  <c r="H30" i="13"/>
  <c r="F30" i="13"/>
  <c r="E30" i="13"/>
  <c r="D30" i="13"/>
  <c r="C30" i="13"/>
  <c r="F29" i="13"/>
  <c r="F28" i="13" s="1"/>
  <c r="E29" i="13"/>
  <c r="E28" i="13" s="1"/>
  <c r="J29" i="13" s="1"/>
  <c r="J28" i="13" s="1"/>
  <c r="D29" i="13"/>
  <c r="D28" i="13" s="1"/>
  <c r="C29" i="13"/>
  <c r="F24" i="13"/>
  <c r="E24" i="13"/>
  <c r="D24" i="13"/>
  <c r="C24" i="13"/>
  <c r="P21" i="13"/>
  <c r="O21" i="13"/>
  <c r="N21" i="13"/>
  <c r="M21" i="13"/>
  <c r="K21" i="13"/>
  <c r="J21" i="13"/>
  <c r="I21" i="13"/>
  <c r="H21" i="13"/>
  <c r="F21" i="13"/>
  <c r="E21" i="13"/>
  <c r="D21" i="13"/>
  <c r="C21" i="13"/>
  <c r="P20" i="13"/>
  <c r="O20" i="13"/>
  <c r="N20" i="13"/>
  <c r="M20" i="13"/>
  <c r="K20" i="13"/>
  <c r="J20" i="13"/>
  <c r="I20" i="13"/>
  <c r="H20" i="13"/>
  <c r="F20" i="13"/>
  <c r="E20" i="13"/>
  <c r="D20" i="13"/>
  <c r="C20" i="13"/>
  <c r="P19" i="13"/>
  <c r="O19" i="13"/>
  <c r="N19" i="13"/>
  <c r="M19" i="13"/>
  <c r="K19" i="13"/>
  <c r="J19" i="13"/>
  <c r="I19" i="13"/>
  <c r="H19" i="13"/>
  <c r="F19" i="13"/>
  <c r="E19" i="13"/>
  <c r="D19" i="13"/>
  <c r="C19" i="13"/>
  <c r="P18" i="13"/>
  <c r="O18" i="13"/>
  <c r="N18" i="13"/>
  <c r="M18" i="13"/>
  <c r="K18" i="13"/>
  <c r="J18" i="13"/>
  <c r="I18" i="13"/>
  <c r="H18" i="13"/>
  <c r="F18" i="13"/>
  <c r="E18" i="13"/>
  <c r="D18" i="13"/>
  <c r="C18" i="13"/>
  <c r="F17" i="13"/>
  <c r="F16" i="13" s="1"/>
  <c r="K17" i="13" s="1"/>
  <c r="K16" i="13" s="1"/>
  <c r="P17" i="13" s="1"/>
  <c r="P16" i="13" s="1"/>
  <c r="E17" i="13"/>
  <c r="E16" i="13" s="1"/>
  <c r="J17" i="13" s="1"/>
  <c r="J16" i="13" s="1"/>
  <c r="O17" i="13" s="1"/>
  <c r="O16" i="13" s="1"/>
  <c r="D17" i="13"/>
  <c r="D16" i="13" s="1"/>
  <c r="I17" i="13" s="1"/>
  <c r="I16" i="13" s="1"/>
  <c r="N17" i="13" s="1"/>
  <c r="N16" i="13" s="1"/>
  <c r="C17" i="13"/>
  <c r="C16" i="13"/>
  <c r="H17" i="13" s="1"/>
  <c r="P15" i="13"/>
  <c r="O15" i="13"/>
  <c r="N15" i="13"/>
  <c r="M15" i="13"/>
  <c r="Q15" i="13" s="1"/>
  <c r="K15" i="13"/>
  <c r="J15" i="13"/>
  <c r="I15" i="13"/>
  <c r="H15" i="13"/>
  <c r="L15" i="13" s="1"/>
  <c r="F15" i="13"/>
  <c r="E15" i="13"/>
  <c r="D15" i="13"/>
  <c r="C15" i="13"/>
  <c r="G15" i="13" s="1"/>
  <c r="P14" i="13"/>
  <c r="O14" i="13"/>
  <c r="N14" i="13"/>
  <c r="M14" i="13"/>
  <c r="Q14" i="13" s="1"/>
  <c r="K14" i="13"/>
  <c r="J14" i="13"/>
  <c r="I14" i="13"/>
  <c r="H14" i="13"/>
  <c r="L14" i="13" s="1"/>
  <c r="F14" i="13"/>
  <c r="E14" i="13"/>
  <c r="D14" i="13"/>
  <c r="C14" i="13"/>
  <c r="G14" i="13" s="1"/>
  <c r="P13" i="13"/>
  <c r="O13" i="13"/>
  <c r="N13" i="13"/>
  <c r="M13" i="13"/>
  <c r="Q13" i="13" s="1"/>
  <c r="K13" i="13"/>
  <c r="J13" i="13"/>
  <c r="I13" i="13"/>
  <c r="H13" i="13"/>
  <c r="L13" i="13" s="1"/>
  <c r="F13" i="13"/>
  <c r="E13" i="13"/>
  <c r="D13" i="13"/>
  <c r="C13" i="13"/>
  <c r="G13" i="13" s="1"/>
  <c r="F12" i="13"/>
  <c r="E12" i="13"/>
  <c r="E11" i="13" s="1"/>
  <c r="D12" i="13"/>
  <c r="C12" i="13"/>
  <c r="G12" i="13" s="1"/>
  <c r="G11" i="13" s="1"/>
  <c r="C8" i="17" s="1"/>
  <c r="F11" i="13"/>
  <c r="K12" i="13" s="1"/>
  <c r="K11" i="13" s="1"/>
  <c r="D11" i="13"/>
  <c r="I12" i="13" s="1"/>
  <c r="I11" i="13" s="1"/>
  <c r="C7" i="13"/>
  <c r="G7" i="13" s="1"/>
  <c r="E177" i="7"/>
  <c r="Q45" i="7"/>
  <c r="L45" i="7"/>
  <c r="G45" i="7"/>
  <c r="F44" i="7"/>
  <c r="E44" i="7"/>
  <c r="D44" i="7"/>
  <c r="C44" i="7"/>
  <c r="F43" i="7"/>
  <c r="K44" i="7" s="1"/>
  <c r="K43" i="7" s="1"/>
  <c r="P44" i="7" s="1"/>
  <c r="P43" i="7" s="1"/>
  <c r="E43" i="7"/>
  <c r="J44" i="7" s="1"/>
  <c r="J43" i="7" s="1"/>
  <c r="O44" i="7" s="1"/>
  <c r="O43" i="7" s="1"/>
  <c r="D43" i="7"/>
  <c r="I44" i="7" s="1"/>
  <c r="I43" i="7" s="1"/>
  <c r="N44" i="7" s="1"/>
  <c r="N43" i="7" s="1"/>
  <c r="C43" i="7"/>
  <c r="H44" i="7" s="1"/>
  <c r="Q42" i="7"/>
  <c r="L42" i="7"/>
  <c r="G42" i="7"/>
  <c r="F41" i="7"/>
  <c r="E41" i="7"/>
  <c r="D41" i="7"/>
  <c r="C41" i="7"/>
  <c r="F40" i="7"/>
  <c r="K41" i="7" s="1"/>
  <c r="K40" i="7" s="1"/>
  <c r="E40" i="7"/>
  <c r="J41" i="7" s="1"/>
  <c r="J40" i="7" s="1"/>
  <c r="D40" i="7"/>
  <c r="I41" i="7" s="1"/>
  <c r="I40" i="7" s="1"/>
  <c r="C40" i="7"/>
  <c r="H41" i="7" s="1"/>
  <c r="Q37" i="7"/>
  <c r="L37" i="7"/>
  <c r="G37" i="7"/>
  <c r="Q36" i="7"/>
  <c r="L36" i="7"/>
  <c r="G36" i="7"/>
  <c r="P35" i="7"/>
  <c r="O35" i="7"/>
  <c r="N35" i="7"/>
  <c r="M35" i="7"/>
  <c r="Q35" i="7" s="1"/>
  <c r="K35" i="7"/>
  <c r="J35" i="7"/>
  <c r="I35" i="7"/>
  <c r="H35" i="7"/>
  <c r="L35" i="7" s="1"/>
  <c r="F35" i="7"/>
  <c r="E35" i="7"/>
  <c r="D35" i="7"/>
  <c r="C35" i="7"/>
  <c r="G35" i="7" s="1"/>
  <c r="F34" i="7"/>
  <c r="E34" i="7"/>
  <c r="D34" i="7"/>
  <c r="C34" i="7"/>
  <c r="G34" i="7" s="1"/>
  <c r="F33" i="7"/>
  <c r="K34" i="7" s="1"/>
  <c r="K33" i="7" s="1"/>
  <c r="P34" i="7" s="1"/>
  <c r="P33" i="7" s="1"/>
  <c r="E33" i="7"/>
  <c r="J34" i="7" s="1"/>
  <c r="J33" i="7" s="1"/>
  <c r="O34" i="7" s="1"/>
  <c r="O33" i="7" s="1"/>
  <c r="D33" i="7"/>
  <c r="I34" i="7" s="1"/>
  <c r="I33" i="7" s="1"/>
  <c r="N34" i="7" s="1"/>
  <c r="N33" i="7" s="1"/>
  <c r="Q32" i="7"/>
  <c r="L32" i="7"/>
  <c r="G32" i="7"/>
  <c r="Q31" i="7"/>
  <c r="L31" i="7"/>
  <c r="G31" i="7"/>
  <c r="P30" i="7"/>
  <c r="O30" i="7"/>
  <c r="N30" i="7"/>
  <c r="M30" i="7"/>
  <c r="K30" i="7"/>
  <c r="J30" i="7"/>
  <c r="I30" i="7"/>
  <c r="H30" i="7"/>
  <c r="F30" i="7"/>
  <c r="E30" i="7"/>
  <c r="D30" i="7"/>
  <c r="C30" i="7"/>
  <c r="F29" i="7"/>
  <c r="E29" i="7"/>
  <c r="E28" i="7" s="1"/>
  <c r="J29" i="7" s="1"/>
  <c r="J28" i="7" s="1"/>
  <c r="D29" i="7"/>
  <c r="C29" i="7"/>
  <c r="F28" i="7"/>
  <c r="K29" i="7" s="1"/>
  <c r="K28" i="7" s="1"/>
  <c r="D28" i="7"/>
  <c r="I29" i="7" s="1"/>
  <c r="I28" i="7" s="1"/>
  <c r="C28" i="7"/>
  <c r="H29" i="7" s="1"/>
  <c r="D27" i="7"/>
  <c r="Q25" i="7"/>
  <c r="L25" i="7"/>
  <c r="G25" i="7"/>
  <c r="F24" i="7"/>
  <c r="E24" i="7"/>
  <c r="D24" i="7"/>
  <c r="C24" i="7"/>
  <c r="F23" i="7"/>
  <c r="K24" i="7" s="1"/>
  <c r="K23" i="7" s="1"/>
  <c r="E23" i="7"/>
  <c r="J24" i="7" s="1"/>
  <c r="J23" i="7" s="1"/>
  <c r="D23" i="7"/>
  <c r="I24" i="7" s="1"/>
  <c r="I23" i="7" s="1"/>
  <c r="C23" i="7"/>
  <c r="H24" i="7" s="1"/>
  <c r="Q21" i="7"/>
  <c r="L21" i="7"/>
  <c r="G21" i="7"/>
  <c r="Q20" i="7"/>
  <c r="L20" i="7"/>
  <c r="G20" i="7"/>
  <c r="Q19" i="7"/>
  <c r="L19" i="7"/>
  <c r="G19" i="7"/>
  <c r="P18" i="7"/>
  <c r="O18" i="7"/>
  <c r="N18" i="7"/>
  <c r="M18" i="7"/>
  <c r="K18" i="7"/>
  <c r="J18" i="7"/>
  <c r="I18" i="7"/>
  <c r="H18" i="7"/>
  <c r="F18" i="7"/>
  <c r="E18" i="7"/>
  <c r="D18" i="7"/>
  <c r="C18" i="7"/>
  <c r="F17" i="7"/>
  <c r="E17" i="7"/>
  <c r="D17" i="7"/>
  <c r="C17" i="7"/>
  <c r="F16" i="7"/>
  <c r="K17" i="7" s="1"/>
  <c r="K16" i="7" s="1"/>
  <c r="P17" i="7" s="1"/>
  <c r="P16" i="7" s="1"/>
  <c r="E16" i="7"/>
  <c r="J17" i="7" s="1"/>
  <c r="J16" i="7" s="1"/>
  <c r="O17" i="7" s="1"/>
  <c r="O16" i="7" s="1"/>
  <c r="D16" i="7"/>
  <c r="I17" i="7" s="1"/>
  <c r="I16" i="7" s="1"/>
  <c r="N17" i="7" s="1"/>
  <c r="C16" i="7"/>
  <c r="H17" i="7" s="1"/>
  <c r="Q15" i="7"/>
  <c r="L15" i="7"/>
  <c r="G15" i="7"/>
  <c r="Q14" i="7"/>
  <c r="L14" i="7"/>
  <c r="G14" i="7"/>
  <c r="P13" i="7"/>
  <c r="O13" i="7"/>
  <c r="N13" i="7"/>
  <c r="M13" i="7"/>
  <c r="K13" i="7"/>
  <c r="J13" i="7"/>
  <c r="I13" i="7"/>
  <c r="H13" i="7"/>
  <c r="F13" i="7"/>
  <c r="E13" i="7"/>
  <c r="D13" i="7"/>
  <c r="C13" i="7"/>
  <c r="F12" i="7"/>
  <c r="E12" i="7"/>
  <c r="D12" i="7"/>
  <c r="C12" i="7"/>
  <c r="F11" i="7"/>
  <c r="K12" i="7" s="1"/>
  <c r="K11" i="7" s="1"/>
  <c r="E11" i="7"/>
  <c r="J12" i="7" s="1"/>
  <c r="J11" i="7" s="1"/>
  <c r="D11" i="7"/>
  <c r="I12" i="7" s="1"/>
  <c r="I11" i="7" s="1"/>
  <c r="C11" i="7"/>
  <c r="H12" i="7" s="1"/>
  <c r="E10" i="7"/>
  <c r="C7" i="7"/>
  <c r="H7" i="7" s="1"/>
  <c r="F59" i="6"/>
  <c r="E58" i="6"/>
  <c r="D58" i="6"/>
  <c r="C55" i="6"/>
  <c r="G55" i="6" s="1"/>
  <c r="K55" i="6" s="1"/>
  <c r="C48" i="6"/>
  <c r="D48" i="6" s="1"/>
  <c r="V44" i="6"/>
  <c r="U44" i="6"/>
  <c r="T44" i="6"/>
  <c r="S44" i="6"/>
  <c r="Q44" i="6"/>
  <c r="P44" i="6"/>
  <c r="O44" i="6"/>
  <c r="N44" i="6"/>
  <c r="L44" i="6"/>
  <c r="K44" i="6"/>
  <c r="J44" i="6"/>
  <c r="I44" i="6"/>
  <c r="G44" i="6"/>
  <c r="F44" i="6"/>
  <c r="E44" i="6"/>
  <c r="D44" i="6"/>
  <c r="AK42" i="6"/>
  <c r="G9" i="13" s="1"/>
  <c r="AJ42" i="6"/>
  <c r="AI42" i="6"/>
  <c r="AH42" i="6"/>
  <c r="AG42" i="6"/>
  <c r="AF42" i="6"/>
  <c r="AE42" i="6"/>
  <c r="AD42" i="6"/>
  <c r="AC42" i="6"/>
  <c r="AB42" i="6"/>
  <c r="AA42" i="6"/>
  <c r="N61" i="6" s="1"/>
  <c r="Z42" i="6"/>
  <c r="M61" i="6" s="1"/>
  <c r="Y42" i="6"/>
  <c r="X42" i="6"/>
  <c r="W42" i="6"/>
  <c r="R42" i="6"/>
  <c r="R44" i="6" s="1"/>
  <c r="M42" i="6"/>
  <c r="M44" i="6" s="1"/>
  <c r="H42" i="6"/>
  <c r="H44" i="6" s="1"/>
  <c r="C42" i="6"/>
  <c r="C44" i="6" s="1"/>
  <c r="C40" i="6"/>
  <c r="H40" i="6" s="1"/>
  <c r="M31" i="6"/>
  <c r="B18" i="17" s="1"/>
  <c r="H31" i="6"/>
  <c r="C31" i="6"/>
  <c r="M30" i="6"/>
  <c r="B17" i="17" s="1"/>
  <c r="H30" i="6"/>
  <c r="C30" i="6"/>
  <c r="M29" i="6"/>
  <c r="B16" i="17" s="1"/>
  <c r="H29" i="6"/>
  <c r="C29" i="6"/>
  <c r="M28" i="6"/>
  <c r="B15" i="17" s="1"/>
  <c r="H28" i="6"/>
  <c r="C28" i="6"/>
  <c r="M27" i="6"/>
  <c r="B14" i="17" s="1"/>
  <c r="H27" i="6"/>
  <c r="C27" i="6"/>
  <c r="M26" i="6"/>
  <c r="B13" i="17" s="1"/>
  <c r="H26" i="6"/>
  <c r="C26" i="6"/>
  <c r="D25" i="6"/>
  <c r="D35" i="6" s="1"/>
  <c r="M24" i="6"/>
  <c r="B10" i="17" s="1"/>
  <c r="H24" i="6"/>
  <c r="C24" i="6"/>
  <c r="M23" i="6"/>
  <c r="B9" i="17" s="1"/>
  <c r="H23" i="6"/>
  <c r="C23" i="6"/>
  <c r="M22" i="6"/>
  <c r="B8" i="17" s="1"/>
  <c r="H22" i="6"/>
  <c r="C22" i="6"/>
  <c r="Q21" i="6"/>
  <c r="Q25" i="6" s="1"/>
  <c r="P21" i="6"/>
  <c r="P25" i="6" s="1"/>
  <c r="O21" i="6"/>
  <c r="O25" i="6" s="1"/>
  <c r="N21" i="6"/>
  <c r="N25" i="6" s="1"/>
  <c r="L21" i="6"/>
  <c r="L25" i="6" s="1"/>
  <c r="K21" i="6"/>
  <c r="K25" i="6" s="1"/>
  <c r="J21" i="6"/>
  <c r="J25" i="6" s="1"/>
  <c r="I21" i="6"/>
  <c r="I25" i="6" s="1"/>
  <c r="G21" i="6"/>
  <c r="G25" i="6" s="1"/>
  <c r="F21" i="6"/>
  <c r="F25" i="6" s="1"/>
  <c r="E21" i="6"/>
  <c r="E25" i="6" s="1"/>
  <c r="C21" i="6"/>
  <c r="C19" i="6"/>
  <c r="H19" i="6" s="1"/>
  <c r="M15" i="6"/>
  <c r="H15" i="6"/>
  <c r="C15" i="6"/>
  <c r="M14" i="6"/>
  <c r="H14" i="6"/>
  <c r="C14" i="6"/>
  <c r="M12" i="6"/>
  <c r="H12" i="6"/>
  <c r="C12" i="6"/>
  <c r="M11" i="6"/>
  <c r="H11" i="6"/>
  <c r="C11" i="6"/>
  <c r="C9" i="6"/>
  <c r="H9" i="6" s="1"/>
  <c r="M9" i="6" s="1"/>
  <c r="D15" i="16"/>
  <c r="O12" i="16"/>
  <c r="E7" i="16"/>
  <c r="H15" i="16"/>
  <c r="I15" i="16"/>
  <c r="E8" i="16"/>
  <c r="H7" i="16"/>
  <c r="I12" i="16"/>
  <c r="J12" i="16"/>
  <c r="N12" i="16"/>
  <c r="C15" i="16"/>
  <c r="I11" i="16"/>
  <c r="C11" i="16"/>
  <c r="E11" i="16"/>
  <c r="C7" i="16"/>
  <c r="I8" i="16"/>
  <c r="M8" i="16"/>
  <c r="E15" i="16"/>
  <c r="B8" i="16"/>
  <c r="O8" i="16"/>
  <c r="H8" i="16"/>
  <c r="E12" i="16"/>
  <c r="D7" i="16"/>
  <c r="M15" i="16"/>
  <c r="O15" i="16"/>
  <c r="J8" i="16"/>
  <c r="D8" i="16"/>
  <c r="C8" i="16"/>
  <c r="D12" i="16"/>
  <c r="N15" i="16"/>
  <c r="D11" i="16"/>
  <c r="J15" i="16"/>
  <c r="J7" i="16"/>
  <c r="N8" i="16"/>
  <c r="N16" i="7" l="1"/>
  <c r="F58" i="6"/>
  <c r="C10" i="7"/>
  <c r="G12" i="7"/>
  <c r="G13" i="7"/>
  <c r="L13" i="7"/>
  <c r="Q13" i="7"/>
  <c r="F27" i="7"/>
  <c r="F10" i="7"/>
  <c r="C33" i="7"/>
  <c r="C35" i="6"/>
  <c r="K61" i="6"/>
  <c r="C58" i="6"/>
  <c r="D59" i="6"/>
  <c r="D10" i="7"/>
  <c r="G29" i="7"/>
  <c r="G30" i="7"/>
  <c r="L30" i="7"/>
  <c r="Q30" i="7"/>
  <c r="G41" i="7"/>
  <c r="G40" i="7" s="1"/>
  <c r="G34" i="13"/>
  <c r="G35" i="13"/>
  <c r="L35" i="13"/>
  <c r="Q35" i="13"/>
  <c r="C25" i="6"/>
  <c r="C33" i="6" s="1"/>
  <c r="H21" i="6"/>
  <c r="H25" i="6" s="1"/>
  <c r="H33" i="6" s="1"/>
  <c r="L61" i="6"/>
  <c r="G17" i="7"/>
  <c r="G18" i="7"/>
  <c r="L18" i="7"/>
  <c r="Q18" i="7"/>
  <c r="E27" i="7"/>
  <c r="C59" i="6"/>
  <c r="E59" i="6"/>
  <c r="G17" i="13"/>
  <c r="G18" i="13"/>
  <c r="L18" i="13"/>
  <c r="Q18" i="13"/>
  <c r="G19" i="13"/>
  <c r="L19" i="13"/>
  <c r="Q19" i="13"/>
  <c r="G20" i="13"/>
  <c r="L20" i="13"/>
  <c r="Q20" i="13"/>
  <c r="G21" i="13"/>
  <c r="L21" i="13"/>
  <c r="Q21" i="13"/>
  <c r="G24" i="13"/>
  <c r="G29" i="13"/>
  <c r="G30" i="13"/>
  <c r="L30" i="13"/>
  <c r="Q30" i="13"/>
  <c r="G31" i="13"/>
  <c r="L31" i="13"/>
  <c r="Q31" i="13"/>
  <c r="D33" i="13"/>
  <c r="Q32" i="13"/>
  <c r="L32" i="13"/>
  <c r="G33" i="7"/>
  <c r="G32" i="13"/>
  <c r="G28" i="7"/>
  <c r="C28" i="13"/>
  <c r="B7" i="17"/>
  <c r="B12" i="17"/>
  <c r="B11" i="17" s="1"/>
  <c r="G24" i="7"/>
  <c r="G23" i="7" s="1"/>
  <c r="G44" i="7"/>
  <c r="G43" i="7" s="1"/>
  <c r="G36" i="13"/>
  <c r="L36" i="13"/>
  <c r="Q36" i="13"/>
  <c r="G37" i="13"/>
  <c r="L37" i="13"/>
  <c r="Q37" i="13"/>
  <c r="G41" i="13"/>
  <c r="G44" i="13"/>
  <c r="G45" i="13"/>
  <c r="L45" i="13"/>
  <c r="Q45" i="13"/>
  <c r="M19" i="6"/>
  <c r="N19" i="6" s="1"/>
  <c r="I19" i="6"/>
  <c r="E33" i="6"/>
  <c r="E35" i="6"/>
  <c r="G33" i="6"/>
  <c r="G35" i="6"/>
  <c r="I33" i="6"/>
  <c r="I35" i="6"/>
  <c r="K33" i="6"/>
  <c r="K35" i="6"/>
  <c r="N35" i="6"/>
  <c r="N33" i="6"/>
  <c r="P35" i="6"/>
  <c r="P33" i="6"/>
  <c r="M40" i="6"/>
  <c r="I40" i="6"/>
  <c r="M7" i="7"/>
  <c r="Q7" i="7" s="1"/>
  <c r="L7" i="7"/>
  <c r="N12" i="7"/>
  <c r="N11" i="7" s="1"/>
  <c r="I10" i="7"/>
  <c r="P12" i="7"/>
  <c r="P11" i="7" s="1"/>
  <c r="P10" i="7" s="1"/>
  <c r="K10" i="7"/>
  <c r="L24" i="7"/>
  <c r="L23" i="7" s="1"/>
  <c r="H23" i="7"/>
  <c r="I58" i="6"/>
  <c r="O24" i="7"/>
  <c r="O23" i="7" s="1"/>
  <c r="M58" i="6" s="1"/>
  <c r="I27" i="7"/>
  <c r="N29" i="7"/>
  <c r="N28" i="7" s="1"/>
  <c r="N27" i="7" s="1"/>
  <c r="K27" i="7"/>
  <c r="P29" i="7"/>
  <c r="P28" i="7" s="1"/>
  <c r="P27" i="7" s="1"/>
  <c r="N41" i="7"/>
  <c r="N40" i="7" s="1"/>
  <c r="L59" i="6" s="1"/>
  <c r="H59" i="6"/>
  <c r="P41" i="7"/>
  <c r="P40" i="7" s="1"/>
  <c r="N59" i="6" s="1"/>
  <c r="J59" i="6"/>
  <c r="L44" i="7"/>
  <c r="L43" i="7" s="1"/>
  <c r="H43" i="7"/>
  <c r="M44" i="7" s="1"/>
  <c r="F35" i="6"/>
  <c r="F33" i="6"/>
  <c r="J35" i="6"/>
  <c r="J33" i="6"/>
  <c r="L35" i="6"/>
  <c r="L33" i="6"/>
  <c r="O33" i="6"/>
  <c r="O35" i="6"/>
  <c r="Q33" i="6"/>
  <c r="Q35" i="6"/>
  <c r="L12" i="7"/>
  <c r="L11" i="7" s="1"/>
  <c r="L22" i="7" s="1"/>
  <c r="L22" i="13" s="1"/>
  <c r="H11" i="7"/>
  <c r="J10" i="7"/>
  <c r="O12" i="7"/>
  <c r="O11" i="7" s="1"/>
  <c r="O10" i="7" s="1"/>
  <c r="H16" i="7"/>
  <c r="M17" i="7" s="1"/>
  <c r="L17" i="7"/>
  <c r="L16" i="7" s="1"/>
  <c r="N24" i="7"/>
  <c r="N23" i="7" s="1"/>
  <c r="L58" i="6" s="1"/>
  <c r="H58" i="6"/>
  <c r="P24" i="7"/>
  <c r="P23" i="7" s="1"/>
  <c r="N58" i="6" s="1"/>
  <c r="J58" i="6"/>
  <c r="H28" i="7"/>
  <c r="L29" i="7"/>
  <c r="L28" i="7" s="1"/>
  <c r="O29" i="7"/>
  <c r="O28" i="7" s="1"/>
  <c r="O27" i="7" s="1"/>
  <c r="J27" i="7"/>
  <c r="H40" i="7"/>
  <c r="L41" i="7"/>
  <c r="O41" i="7"/>
  <c r="O40" i="7" s="1"/>
  <c r="M59" i="6" s="1"/>
  <c r="I59" i="6"/>
  <c r="H35" i="6"/>
  <c r="K10" i="13"/>
  <c r="P12" i="13"/>
  <c r="P11" i="13" s="1"/>
  <c r="J27" i="13"/>
  <c r="O29" i="13"/>
  <c r="O28" i="13" s="1"/>
  <c r="I29" i="13"/>
  <c r="I28" i="13" s="1"/>
  <c r="F27" i="13"/>
  <c r="K29" i="13"/>
  <c r="K28" i="13" s="1"/>
  <c r="D19" i="6"/>
  <c r="M21" i="6"/>
  <c r="D33" i="6"/>
  <c r="D40" i="6"/>
  <c r="E50" i="6"/>
  <c r="G50" i="6"/>
  <c r="D61" i="6"/>
  <c r="F61" i="6"/>
  <c r="H61" i="6"/>
  <c r="J61" i="6"/>
  <c r="G7" i="7"/>
  <c r="C6" i="17"/>
  <c r="C9" i="13"/>
  <c r="I10" i="13"/>
  <c r="N12" i="13"/>
  <c r="N11" i="13" s="1"/>
  <c r="D8" i="17"/>
  <c r="F8" i="17" s="1"/>
  <c r="E10" i="13"/>
  <c r="J12" i="13"/>
  <c r="J11" i="13" s="1"/>
  <c r="L17" i="13"/>
  <c r="L16" i="13" s="1"/>
  <c r="H16" i="13"/>
  <c r="F3" i="16"/>
  <c r="G3" i="16"/>
  <c r="D50" i="6"/>
  <c r="F50" i="6"/>
  <c r="C61" i="6"/>
  <c r="E61" i="6"/>
  <c r="G61" i="6"/>
  <c r="I61" i="6"/>
  <c r="G9" i="7"/>
  <c r="H7" i="13"/>
  <c r="D10" i="13"/>
  <c r="F10" i="13"/>
  <c r="C11" i="13"/>
  <c r="E27" i="13"/>
  <c r="C33" i="13"/>
  <c r="C43" i="13"/>
  <c r="G8" i="16"/>
  <c r="B11" i="16"/>
  <c r="B7" i="16"/>
  <c r="M7" i="16"/>
  <c r="B12" i="16"/>
  <c r="H11" i="16"/>
  <c r="B15" i="16"/>
  <c r="I7" i="16"/>
  <c r="J11" i="16"/>
  <c r="O7" i="16"/>
  <c r="C12" i="16"/>
  <c r="N11" i="16"/>
  <c r="B5" i="16"/>
  <c r="N10" i="7" l="1"/>
  <c r="G28" i="13"/>
  <c r="C13" i="17" s="1"/>
  <c r="D13" i="17" s="1"/>
  <c r="F13" i="17" s="1"/>
  <c r="G16" i="7"/>
  <c r="G11" i="7"/>
  <c r="G22" i="7" s="1"/>
  <c r="G22" i="13" s="1"/>
  <c r="G10" i="7"/>
  <c r="G26" i="7" s="1"/>
  <c r="G33" i="13"/>
  <c r="C14" i="17" s="1"/>
  <c r="H34" i="7"/>
  <c r="C27" i="7"/>
  <c r="G27" i="7"/>
  <c r="I34" i="13"/>
  <c r="I33" i="13" s="1"/>
  <c r="I27" i="13" s="1"/>
  <c r="D27" i="13"/>
  <c r="G16" i="13"/>
  <c r="C9" i="17" s="1"/>
  <c r="G43" i="13"/>
  <c r="C17" i="17" s="1"/>
  <c r="D17" i="17" s="1"/>
  <c r="F17" i="17" s="1"/>
  <c r="H29" i="13"/>
  <c r="H28" i="13" s="1"/>
  <c r="D14" i="17"/>
  <c r="F14" i="17" s="1"/>
  <c r="H44" i="13"/>
  <c r="L7" i="13"/>
  <c r="M7" i="13"/>
  <c r="Q7" i="13" s="1"/>
  <c r="K3" i="16"/>
  <c r="L3" i="16"/>
  <c r="P3" i="16" s="1"/>
  <c r="M17" i="13"/>
  <c r="O12" i="13"/>
  <c r="O11" i="13" s="1"/>
  <c r="J10" i="13"/>
  <c r="N10" i="13"/>
  <c r="B6" i="17"/>
  <c r="B5" i="17" s="1"/>
  <c r="M25" i="6"/>
  <c r="P29" i="13"/>
  <c r="P28" i="13" s="1"/>
  <c r="K27" i="13"/>
  <c r="N29" i="13"/>
  <c r="N28" i="13" s="1"/>
  <c r="O27" i="13"/>
  <c r="P10" i="13"/>
  <c r="M41" i="7"/>
  <c r="L40" i="7"/>
  <c r="G59" i="6"/>
  <c r="M29" i="7"/>
  <c r="Q17" i="7"/>
  <c r="Q16" i="7" s="1"/>
  <c r="M16" i="7"/>
  <c r="R40" i="6"/>
  <c r="N40" i="6"/>
  <c r="H34" i="13"/>
  <c r="C10" i="13"/>
  <c r="G10" i="13" s="1"/>
  <c r="H12" i="13"/>
  <c r="C9" i="7"/>
  <c r="C50" i="6"/>
  <c r="H50" i="6" s="1"/>
  <c r="H10" i="7"/>
  <c r="L10" i="7" s="1"/>
  <c r="M12" i="7"/>
  <c r="M43" i="7"/>
  <c r="Q44" i="7"/>
  <c r="Q43" i="7" s="1"/>
  <c r="G58" i="6"/>
  <c r="M24" i="7"/>
  <c r="C27" i="13"/>
  <c r="L29" i="13"/>
  <c r="L28" i="13" s="1"/>
  <c r="H12" i="16"/>
  <c r="O11" i="16"/>
  <c r="G11" i="16"/>
  <c r="N7" i="16"/>
  <c r="M11" i="16"/>
  <c r="C12" i="17" l="1"/>
  <c r="D12" i="17" s="1"/>
  <c r="F12" i="17" s="1"/>
  <c r="L34" i="7"/>
  <c r="L33" i="7" s="1"/>
  <c r="L27" i="7" s="1"/>
  <c r="H33" i="7"/>
  <c r="C7" i="17"/>
  <c r="D7" i="17" s="1"/>
  <c r="F7" i="17" s="1"/>
  <c r="D9" i="17"/>
  <c r="F9" i="17" s="1"/>
  <c r="N34" i="13"/>
  <c r="N33" i="13" s="1"/>
  <c r="N27" i="13" s="1"/>
  <c r="M29" i="13"/>
  <c r="M28" i="13" s="1"/>
  <c r="G27" i="13"/>
  <c r="M23" i="7"/>
  <c r="K58" i="6" s="1"/>
  <c r="Q24" i="7"/>
  <c r="Q23" i="7" s="1"/>
  <c r="M11" i="7"/>
  <c r="M10" i="7" s="1"/>
  <c r="Q10" i="7" s="1"/>
  <c r="Q12" i="7"/>
  <c r="Q11" i="7" s="1"/>
  <c r="Q22" i="7" s="1"/>
  <c r="Q22" i="13" s="1"/>
  <c r="C26" i="7"/>
  <c r="H11" i="13"/>
  <c r="L12" i="13"/>
  <c r="L11" i="13" s="1"/>
  <c r="H33" i="13"/>
  <c r="L34" i="13"/>
  <c r="L33" i="13" s="1"/>
  <c r="W40" i="6"/>
  <c r="S40" i="6"/>
  <c r="Q29" i="7"/>
  <c r="Q28" i="7" s="1"/>
  <c r="M28" i="7"/>
  <c r="M33" i="6"/>
  <c r="G39" i="7"/>
  <c r="M35" i="6"/>
  <c r="O10" i="13"/>
  <c r="Q41" i="7"/>
  <c r="Q40" i="7" s="1"/>
  <c r="M40" i="7"/>
  <c r="K59" i="6" s="1"/>
  <c r="P27" i="13"/>
  <c r="M16" i="13"/>
  <c r="Q17" i="13"/>
  <c r="Q16" i="13" s="1"/>
  <c r="H43" i="13"/>
  <c r="L44" i="13"/>
  <c r="L43" i="13" s="1"/>
  <c r="D6" i="17"/>
  <c r="F6" i="17" s="1"/>
  <c r="M12" i="16"/>
  <c r="G7" i="16"/>
  <c r="L11" i="16"/>
  <c r="L8" i="16"/>
  <c r="G12" i="16"/>
  <c r="G15" i="16"/>
  <c r="M34" i="7" l="1"/>
  <c r="H27" i="7"/>
  <c r="Q29" i="13"/>
  <c r="Q28" i="13" s="1"/>
  <c r="M44" i="13"/>
  <c r="AB40" i="6"/>
  <c r="X40" i="6"/>
  <c r="M34" i="13"/>
  <c r="H27" i="13"/>
  <c r="M12" i="13"/>
  <c r="H10" i="13"/>
  <c r="L10" i="13" s="1"/>
  <c r="G39" i="13"/>
  <c r="Q39" i="7"/>
  <c r="L39" i="7"/>
  <c r="G38" i="7"/>
  <c r="M33" i="7" l="1"/>
  <c r="M27" i="7" s="1"/>
  <c r="Q34" i="7"/>
  <c r="Q33" i="7" s="1"/>
  <c r="Q27" i="7" s="1"/>
  <c r="G38" i="13"/>
  <c r="C15" i="17" s="1"/>
  <c r="G46" i="7"/>
  <c r="F38" i="7"/>
  <c r="E38" i="7"/>
  <c r="C38" i="7"/>
  <c r="Q39" i="13"/>
  <c r="L27" i="13"/>
  <c r="L39" i="13"/>
  <c r="Q12" i="13"/>
  <c r="Q11" i="13" s="1"/>
  <c r="M11" i="13"/>
  <c r="Q34" i="13"/>
  <c r="Q33" i="13" s="1"/>
  <c r="M33" i="13"/>
  <c r="AG40" i="6"/>
  <c r="AH40" i="6" s="1"/>
  <c r="AC40" i="6"/>
  <c r="Q44" i="13"/>
  <c r="Q43" i="13" s="1"/>
  <c r="M43" i="13"/>
  <c r="L15" i="16"/>
  <c r="L12" i="16"/>
  <c r="L7" i="16"/>
  <c r="M27" i="13" l="1"/>
  <c r="M10" i="13"/>
  <c r="Q10" i="13" s="1"/>
  <c r="C38" i="13"/>
  <c r="C46" i="7"/>
  <c r="F38" i="13"/>
  <c r="F46" i="7"/>
  <c r="G47" i="7"/>
  <c r="G53" i="7" s="1"/>
  <c r="D15" i="17"/>
  <c r="F15" i="17" s="1"/>
  <c r="E38" i="13"/>
  <c r="E46" i="7"/>
  <c r="D38" i="7"/>
  <c r="E13" i="16"/>
  <c r="D13" i="16"/>
  <c r="B13" i="16"/>
  <c r="G50" i="7" l="1"/>
  <c r="D38" i="13"/>
  <c r="D46" i="7"/>
  <c r="Q27" i="13"/>
  <c r="C47" i="7"/>
  <c r="C13" i="16"/>
  <c r="C60" i="6" l="1"/>
  <c r="D9" i="7"/>
  <c r="C53" i="7"/>
  <c r="C50" i="7"/>
  <c r="C64" i="6" l="1"/>
  <c r="C63" i="6"/>
  <c r="D26" i="7"/>
  <c r="D47" i="7" l="1"/>
  <c r="D50" i="7" s="1"/>
  <c r="C65" i="6"/>
  <c r="C66" i="6" s="1"/>
  <c r="C69" i="6" l="1"/>
  <c r="C70" i="6"/>
  <c r="C74" i="6" s="1"/>
  <c r="E9" i="7"/>
  <c r="D60" i="6"/>
  <c r="D53" i="7"/>
  <c r="E26" i="7" l="1"/>
  <c r="C42" i="13"/>
  <c r="C73" i="6"/>
  <c r="C68" i="6"/>
  <c r="D64" i="6"/>
  <c r="D63" i="6"/>
  <c r="C25" i="13" l="1"/>
  <c r="C72" i="6"/>
  <c r="C40" i="13"/>
  <c r="D65" i="6"/>
  <c r="D66" i="6" s="1"/>
  <c r="E47" i="7"/>
  <c r="E50" i="7" s="1"/>
  <c r="B14" i="16"/>
  <c r="D69" i="6" l="1"/>
  <c r="D70" i="6"/>
  <c r="D74" i="6" s="1"/>
  <c r="E60" i="6" s="1"/>
  <c r="C23" i="13"/>
  <c r="F9" i="7"/>
  <c r="E53" i="7"/>
  <c r="H41" i="13"/>
  <c r="C46" i="13"/>
  <c r="B9" i="16"/>
  <c r="B17" i="16" l="1"/>
  <c r="E64" i="6"/>
  <c r="E63" i="6"/>
  <c r="D42" i="13"/>
  <c r="D73" i="6"/>
  <c r="D68" i="6"/>
  <c r="F26" i="7"/>
  <c r="H24" i="13"/>
  <c r="C26" i="13"/>
  <c r="F47" i="7" l="1"/>
  <c r="F50" i="7" s="1"/>
  <c r="D25" i="13"/>
  <c r="D72" i="6"/>
  <c r="D40" i="13"/>
  <c r="E65" i="6"/>
  <c r="E66" i="6" s="1"/>
  <c r="C47" i="13"/>
  <c r="C50" i="13" s="1"/>
  <c r="C14" i="16"/>
  <c r="E70" i="6" l="1"/>
  <c r="E74" i="6" s="1"/>
  <c r="E69" i="6"/>
  <c r="D9" i="13"/>
  <c r="C53" i="13"/>
  <c r="I41" i="13"/>
  <c r="D46" i="13"/>
  <c r="D23" i="13"/>
  <c r="L9" i="7"/>
  <c r="F60" i="6"/>
  <c r="F53" i="7"/>
  <c r="C9" i="16"/>
  <c r="C17" i="16" l="1"/>
  <c r="L26" i="7"/>
  <c r="H9" i="7"/>
  <c r="I24" i="13"/>
  <c r="D26" i="13"/>
  <c r="F64" i="6"/>
  <c r="F63" i="6"/>
  <c r="E42" i="13"/>
  <c r="E73" i="6"/>
  <c r="E68" i="6"/>
  <c r="E40" i="13" l="1"/>
  <c r="D47" i="13"/>
  <c r="L38" i="7"/>
  <c r="E25" i="13"/>
  <c r="E72" i="6"/>
  <c r="F65" i="6"/>
  <c r="F66" i="6" s="1"/>
  <c r="H26" i="7"/>
  <c r="D14" i="16"/>
  <c r="F69" i="6" l="1"/>
  <c r="F73" i="6" s="1"/>
  <c r="F70" i="6"/>
  <c r="F74" i="6" s="1"/>
  <c r="F42" i="13"/>
  <c r="E23" i="13"/>
  <c r="L38" i="13"/>
  <c r="J38" i="7"/>
  <c r="H38" i="7"/>
  <c r="K38" i="7"/>
  <c r="L46" i="7"/>
  <c r="E9" i="13"/>
  <c r="D53" i="13"/>
  <c r="J41" i="13"/>
  <c r="E46" i="13"/>
  <c r="D50" i="13"/>
  <c r="D9" i="16"/>
  <c r="F68" i="6" l="1"/>
  <c r="F72" i="6" s="1"/>
  <c r="D17" i="16"/>
  <c r="E26" i="13"/>
  <c r="L47" i="7"/>
  <c r="L53" i="7" s="1"/>
  <c r="H38" i="13"/>
  <c r="H46" i="7"/>
  <c r="F25" i="13"/>
  <c r="F40" i="13"/>
  <c r="G42" i="13"/>
  <c r="G40" i="13" s="1"/>
  <c r="I38" i="7"/>
  <c r="K38" i="13"/>
  <c r="K46" i="7"/>
  <c r="J38" i="13"/>
  <c r="J46" i="7"/>
  <c r="J24" i="13"/>
  <c r="E14" i="16"/>
  <c r="G13" i="16"/>
  <c r="J13" i="16"/>
  <c r="I13" i="16"/>
  <c r="L50" i="7" l="1"/>
  <c r="I38" i="13"/>
  <c r="I46" i="7"/>
  <c r="K41" i="13"/>
  <c r="F46" i="13"/>
  <c r="F23" i="13"/>
  <c r="G25" i="13"/>
  <c r="G23" i="13" s="1"/>
  <c r="H47" i="7"/>
  <c r="H50" i="7" s="1"/>
  <c r="C16" i="17"/>
  <c r="G46" i="13"/>
  <c r="E47" i="13"/>
  <c r="H13" i="16"/>
  <c r="E9" i="16"/>
  <c r="E17" i="16" l="1"/>
  <c r="F9" i="13"/>
  <c r="E53" i="13"/>
  <c r="I9" i="7"/>
  <c r="G60" i="6"/>
  <c r="H53" i="7"/>
  <c r="K24" i="13"/>
  <c r="L41" i="13"/>
  <c r="D16" i="17"/>
  <c r="F16" i="17" s="1"/>
  <c r="C11" i="17"/>
  <c r="D11" i="17" s="1"/>
  <c r="F11" i="17" s="1"/>
  <c r="C10" i="17"/>
  <c r="G26" i="13"/>
  <c r="E50" i="13"/>
  <c r="L24" i="13" l="1"/>
  <c r="G64" i="6"/>
  <c r="G63" i="6"/>
  <c r="G47" i="13"/>
  <c r="D10" i="17"/>
  <c r="F10" i="17" s="1"/>
  <c r="C5" i="17"/>
  <c r="D5" i="17" s="1"/>
  <c r="F5" i="17" s="1"/>
  <c r="I26" i="7"/>
  <c r="F26" i="13"/>
  <c r="I47" i="7" l="1"/>
  <c r="I50" i="7" s="1"/>
  <c r="C18" i="17"/>
  <c r="D18" i="17" s="1"/>
  <c r="F18" i="17" s="1"/>
  <c r="G53" i="13"/>
  <c r="F47" i="13"/>
  <c r="F50" i="13" s="1"/>
  <c r="G65" i="6"/>
  <c r="G66" i="6" s="1"/>
  <c r="G50" i="13"/>
  <c r="G69" i="6" l="1"/>
  <c r="G70" i="6"/>
  <c r="G74" i="6" s="1"/>
  <c r="H60" i="6" s="1"/>
  <c r="L9" i="13"/>
  <c r="F53" i="13"/>
  <c r="J9" i="7"/>
  <c r="I53" i="7"/>
  <c r="J26" i="7" l="1"/>
  <c r="H9" i="13"/>
  <c r="H42" i="13"/>
  <c r="G73" i="6"/>
  <c r="G68" i="6"/>
  <c r="H64" i="6"/>
  <c r="H63" i="6"/>
  <c r="H25" i="13" l="1"/>
  <c r="G72" i="6"/>
  <c r="H65" i="6" s="1"/>
  <c r="H66" i="6" s="1"/>
  <c r="H40" i="13"/>
  <c r="J47" i="7"/>
  <c r="G14" i="16"/>
  <c r="H69" i="6" l="1"/>
  <c r="H70" i="6"/>
  <c r="H74" i="6" s="1"/>
  <c r="K9" i="7"/>
  <c r="I60" i="6"/>
  <c r="J53" i="7"/>
  <c r="M41" i="13"/>
  <c r="H46" i="13"/>
  <c r="H23" i="13"/>
  <c r="J50" i="7"/>
  <c r="G9" i="16"/>
  <c r="G17" i="16" l="1"/>
  <c r="M24" i="13"/>
  <c r="H26" i="13"/>
  <c r="K26" i="7"/>
  <c r="I42" i="13"/>
  <c r="H73" i="6"/>
  <c r="H68" i="6"/>
  <c r="I64" i="6"/>
  <c r="I63" i="6"/>
  <c r="I25" i="13" l="1"/>
  <c r="H72" i="6"/>
  <c r="I65" i="6" s="1"/>
  <c r="I66" i="6" s="1"/>
  <c r="I40" i="13"/>
  <c r="K47" i="7"/>
  <c r="H47" i="13"/>
  <c r="H50" i="13" s="1"/>
  <c r="H14" i="16"/>
  <c r="I69" i="6" l="1"/>
  <c r="I70" i="6"/>
  <c r="I74" i="6" s="1"/>
  <c r="Q9" i="7"/>
  <c r="J60" i="6"/>
  <c r="K53" i="7"/>
  <c r="N41" i="13"/>
  <c r="I46" i="13"/>
  <c r="I23" i="13"/>
  <c r="I9" i="13"/>
  <c r="H53" i="13"/>
  <c r="K50" i="7"/>
  <c r="H9" i="16"/>
  <c r="H17" i="16" l="1"/>
  <c r="M9" i="7"/>
  <c r="Q26" i="7"/>
  <c r="J42" i="13"/>
  <c r="I73" i="6"/>
  <c r="I68" i="6"/>
  <c r="I26" i="13"/>
  <c r="N24" i="13"/>
  <c r="J64" i="6"/>
  <c r="J63" i="6"/>
  <c r="J25" i="13" l="1"/>
  <c r="I72" i="6"/>
  <c r="J65" i="6" s="1"/>
  <c r="J66" i="6" s="1"/>
  <c r="J40" i="13"/>
  <c r="M26" i="7"/>
  <c r="I47" i="13"/>
  <c r="I50" i="13" s="1"/>
  <c r="Q38" i="7"/>
  <c r="I14" i="16"/>
  <c r="J69" i="6" l="1"/>
  <c r="J70" i="6"/>
  <c r="J74" i="6" s="1"/>
  <c r="Q38" i="13"/>
  <c r="O38" i="7"/>
  <c r="M38" i="7"/>
  <c r="P38" i="7"/>
  <c r="Q46" i="7"/>
  <c r="O41" i="13"/>
  <c r="J46" i="13"/>
  <c r="J23" i="13"/>
  <c r="J9" i="13"/>
  <c r="I53" i="13"/>
  <c r="I9" i="16"/>
  <c r="I17" i="16" l="1"/>
  <c r="P38" i="13"/>
  <c r="P46" i="7"/>
  <c r="O38" i="13"/>
  <c r="O46" i="7"/>
  <c r="K42" i="13"/>
  <c r="J73" i="6"/>
  <c r="J68" i="6"/>
  <c r="J26" i="13"/>
  <c r="O24" i="13"/>
  <c r="Q47" i="7"/>
  <c r="Q53" i="7" s="1"/>
  <c r="M38" i="13"/>
  <c r="M46" i="7"/>
  <c r="N38" i="7"/>
  <c r="L13" i="16"/>
  <c r="N13" i="16"/>
  <c r="O13" i="16"/>
  <c r="N38" i="13" l="1"/>
  <c r="N46" i="7"/>
  <c r="M47" i="7"/>
  <c r="J47" i="13"/>
  <c r="J50" i="13" s="1"/>
  <c r="K25" i="13"/>
  <c r="J72" i="6"/>
  <c r="K40" i="13"/>
  <c r="L42" i="13"/>
  <c r="L40" i="13" s="1"/>
  <c r="L46" i="13" s="1"/>
  <c r="Q50" i="7"/>
  <c r="J14" i="16"/>
  <c r="M13" i="16"/>
  <c r="K60" i="6" l="1"/>
  <c r="N9" i="7"/>
  <c r="M53" i="7"/>
  <c r="P41" i="13"/>
  <c r="K46" i="13"/>
  <c r="K23" i="13"/>
  <c r="L25" i="13"/>
  <c r="L23" i="13" s="1"/>
  <c r="K9" i="13"/>
  <c r="J53" i="13"/>
  <c r="M50" i="7"/>
  <c r="J9" i="16"/>
  <c r="J17" i="16" l="1"/>
  <c r="L26" i="13"/>
  <c r="K64" i="6"/>
  <c r="K63" i="6"/>
  <c r="K26" i="13"/>
  <c r="P24" i="13"/>
  <c r="Q41" i="13"/>
  <c r="N26" i="7"/>
  <c r="L47" i="13" l="1"/>
  <c r="L53" i="13" s="1"/>
  <c r="N47" i="7"/>
  <c r="N50" i="7" s="1"/>
  <c r="Q24" i="13"/>
  <c r="K47" i="13"/>
  <c r="K65" i="6"/>
  <c r="K66" i="6" s="1"/>
  <c r="K69" i="6" l="1"/>
  <c r="K70" i="6"/>
  <c r="K74" i="6" s="1"/>
  <c r="L60" i="6" s="1"/>
  <c r="Q9" i="13"/>
  <c r="K53" i="13"/>
  <c r="O9" i="7"/>
  <c r="N53" i="7"/>
  <c r="K50" i="13"/>
  <c r="L50" i="13"/>
  <c r="L64" i="6" l="1"/>
  <c r="L63" i="6"/>
  <c r="M42" i="13"/>
  <c r="K73" i="6"/>
  <c r="K68" i="6"/>
  <c r="O26" i="7"/>
  <c r="M9" i="13"/>
  <c r="O47" i="7" l="1"/>
  <c r="M25" i="13"/>
  <c r="K72" i="6"/>
  <c r="L65" i="6" s="1"/>
  <c r="L66" i="6" s="1"/>
  <c r="M40" i="13"/>
  <c r="L14" i="16"/>
  <c r="L69" i="6" l="1"/>
  <c r="L70" i="6"/>
  <c r="L74" i="6" s="1"/>
  <c r="M60" i="6" s="1"/>
  <c r="P9" i="7"/>
  <c r="O53" i="7"/>
  <c r="M46" i="13"/>
  <c r="M23" i="13"/>
  <c r="O50" i="7"/>
  <c r="L9" i="16"/>
  <c r="L17" i="16" l="1"/>
  <c r="M64" i="6"/>
  <c r="M63" i="6"/>
  <c r="N42" i="13"/>
  <c r="L73" i="6"/>
  <c r="L68" i="6"/>
  <c r="M26" i="13"/>
  <c r="P26" i="7"/>
  <c r="P47" i="7" l="1"/>
  <c r="N25" i="13"/>
  <c r="L72" i="6"/>
  <c r="M65" i="6" s="1"/>
  <c r="M66" i="6" s="1"/>
  <c r="N40" i="13"/>
  <c r="M47" i="13"/>
  <c r="M14" i="16"/>
  <c r="M70" i="6" l="1"/>
  <c r="M74" i="6" s="1"/>
  <c r="N60" i="6" s="1"/>
  <c r="M69" i="6"/>
  <c r="N9" i="13"/>
  <c r="M53" i="13"/>
  <c r="N46" i="13"/>
  <c r="N23" i="13"/>
  <c r="P53" i="7"/>
  <c r="M50" i="13"/>
  <c r="P50" i="7"/>
  <c r="M9" i="16"/>
  <c r="M17" i="16" l="1"/>
  <c r="N64" i="6"/>
  <c r="N63" i="6"/>
  <c r="N26" i="13"/>
  <c r="O42" i="13"/>
  <c r="M73" i="6"/>
  <c r="M68" i="6"/>
  <c r="O40" i="13" l="1"/>
  <c r="O25" i="13"/>
  <c r="M72" i="6"/>
  <c r="N65" i="6" s="1"/>
  <c r="N66" i="6" s="1"/>
  <c r="N47" i="13"/>
  <c r="N50" i="13" s="1"/>
  <c r="N14" i="16"/>
  <c r="N69" i="6" l="1"/>
  <c r="N70" i="6"/>
  <c r="N74" i="6" s="1"/>
  <c r="O46" i="13"/>
  <c r="O9" i="13"/>
  <c r="N53" i="13"/>
  <c r="O23" i="13"/>
  <c r="N9" i="16"/>
  <c r="N17" i="16" l="1"/>
  <c r="P42" i="13"/>
  <c r="N73" i="6"/>
  <c r="N68" i="6"/>
  <c r="O26" i="13"/>
  <c r="O47" i="13" l="1"/>
  <c r="O50" i="13" s="1"/>
  <c r="P25" i="13"/>
  <c r="N72" i="6"/>
  <c r="P40" i="13"/>
  <c r="Q42" i="13"/>
  <c r="Q40" i="13" s="1"/>
  <c r="Q46" i="13" s="1"/>
  <c r="O14" i="16"/>
  <c r="P46" i="13" l="1"/>
  <c r="P23" i="13"/>
  <c r="Q25" i="13"/>
  <c r="Q23" i="13" s="1"/>
  <c r="P9" i="13"/>
  <c r="O53" i="13"/>
  <c r="O9" i="16"/>
  <c r="O17" i="16" l="1"/>
  <c r="Q26" i="13"/>
  <c r="P26" i="13"/>
  <c r="Q47" i="13" l="1"/>
  <c r="Q53" i="13" s="1"/>
  <c r="P47" i="13"/>
  <c r="P53" i="13" s="1"/>
  <c r="P50" i="13" l="1"/>
  <c r="Q50" i="13"/>
</calcChain>
</file>

<file path=xl/sharedStrings.xml><?xml version="1.0" encoding="utf-8"?>
<sst xmlns="http://schemas.openxmlformats.org/spreadsheetml/2006/main" count="414" uniqueCount="143">
  <si>
    <t>1 кв.</t>
  </si>
  <si>
    <t>2 кв.</t>
  </si>
  <si>
    <t>3 кв.</t>
  </si>
  <si>
    <t>4 кв.</t>
  </si>
  <si>
    <t>Запасы на начало периода</t>
  </si>
  <si>
    <t>Потери</t>
  </si>
  <si>
    <t>Личное потребление</t>
  </si>
  <si>
    <t>Переработка на продовольственные цели</t>
  </si>
  <si>
    <t>Запасы на конец периода</t>
  </si>
  <si>
    <t>Формула</t>
  </si>
  <si>
    <t>Легенда</t>
  </si>
  <si>
    <t>Значение в данной ячейке должно быть ОБЯЗАТЕЛЬНО заполнено</t>
  </si>
  <si>
    <t>Значение в данной ячейке рассчитывается автоматически и не редактируется</t>
  </si>
  <si>
    <t>Наименование показателя</t>
  </si>
  <si>
    <t>Значение в данной ячейке заполняется автоматически, можно корректировать</t>
  </si>
  <si>
    <t>Показатель баланса</t>
  </si>
  <si>
    <t>2.2 Потери</t>
  </si>
  <si>
    <t>Наименование</t>
  </si>
  <si>
    <t>Обозначение</t>
  </si>
  <si>
    <t>1. Прогнозные значения до корректировки</t>
  </si>
  <si>
    <t>1.1. Ввоз</t>
  </si>
  <si>
    <t>1.2. Вывоз</t>
  </si>
  <si>
    <t>1.3. Запасы на конец периода</t>
  </si>
  <si>
    <t>2. Минимальный остаток за 7 предыдущих лет</t>
  </si>
  <si>
    <t>3. Корректировки</t>
  </si>
  <si>
    <t>3.1. Необходимая корректировка остатка запасов на конец периода для приведения к уровню не ниже минимального в текущем квартале</t>
  </si>
  <si>
    <t>4. Прогнозные значения с учетом корректировки</t>
  </si>
  <si>
    <t>4.1. Ввоз</t>
  </si>
  <si>
    <t>4.2. Вывоз</t>
  </si>
  <si>
    <t>4.3. Запасы на конец периода</t>
  </si>
  <si>
    <t>5. Сумма корректировки нарастающим итогом (влияет на остаток в последующих периодах)</t>
  </si>
  <si>
    <t>5.1. Корректировка ввоза</t>
  </si>
  <si>
    <t>5.2. Корректировка вывоза</t>
  </si>
  <si>
    <t>5.3. Корректировка запасов на конец периода</t>
  </si>
  <si>
    <t>Ед. измерения</t>
  </si>
  <si>
    <t>1. Итого ресурсов</t>
  </si>
  <si>
    <t>1.1 Запасы на начало периода</t>
  </si>
  <si>
    <t>1.3 Ввоз, включая импорт</t>
  </si>
  <si>
    <t>Объем ввоза в предыдущем году</t>
  </si>
  <si>
    <t>Изменение ввоза относительно предыдущего года</t>
  </si>
  <si>
    <t>2. Итого использование</t>
  </si>
  <si>
    <t>Объем переработки на продовольственные цели в предыдущем году</t>
  </si>
  <si>
    <t>Увеличение объема переработки вследствие ввода новых мощностей в соответствующем регионе</t>
  </si>
  <si>
    <t>Снижение объема переработки вследствие вывода существующих мощностей</t>
  </si>
  <si>
    <t>Изменение переработки вследствие изменения загрузки существующих мощностей</t>
  </si>
  <si>
    <t xml:space="preserve">Уровень потерь </t>
  </si>
  <si>
    <t>2.3 Вывоз, включая экспорт</t>
  </si>
  <si>
    <t>Объем вывоза, включая экспорт в предыдущем году</t>
  </si>
  <si>
    <t xml:space="preserve">Изменение вывоза относительно предыдущего года </t>
  </si>
  <si>
    <t>2.4 Личное потребление</t>
  </si>
  <si>
    <t>Личное потребление в предыдущем году</t>
  </si>
  <si>
    <t>Изменение личного потребления относительного предыдущего года</t>
  </si>
  <si>
    <t>3. Запасы на конец периода</t>
  </si>
  <si>
    <t>Проверка на Итоги</t>
  </si>
  <si>
    <t>Обязательно к заполнению</t>
  </si>
  <si>
    <t>Возможна корректировка</t>
  </si>
  <si>
    <t>Значение не заполняется</t>
  </si>
  <si>
    <t>(Таблица содержит фактические значения балансов за 3 предыдущих года с поквартальной разбивкой. Необходима для детализации годовых прогнозных показателей на квартальные)</t>
  </si>
  <si>
    <t>Строки/Колонки</t>
  </si>
  <si>
    <t>N0</t>
  </si>
  <si>
    <t>Тип ячейки</t>
  </si>
  <si>
    <t>Контрольная сумма</t>
  </si>
  <si>
    <t>Итого использовано</t>
  </si>
  <si>
    <t>Вывоз, включая экспорт</t>
  </si>
  <si>
    <t>Переработка на другие цели</t>
  </si>
  <si>
    <t>Итого ресурсов</t>
  </si>
  <si>
    <t>Ввоз, включая импорт</t>
  </si>
  <si>
    <t>Проверка на Контрольную сумму</t>
  </si>
  <si>
    <t>2.1.1 Переработка на продовольственные цели</t>
  </si>
  <si>
    <t>2.1 Переработка</t>
  </si>
  <si>
    <t>Производство сахара из сахарной свеклы</t>
  </si>
  <si>
    <t>Производство сахара из сахара-сырца</t>
  </si>
  <si>
    <t xml:space="preserve">Переработка на продовольственные цели </t>
  </si>
  <si>
    <t>Проверка</t>
  </si>
  <si>
    <t>2.1.2 Переработка на другие цели</t>
  </si>
  <si>
    <t>Справочно – переработано сахарной свеклы</t>
  </si>
  <si>
    <t>Справочно – выход сахара (%)</t>
  </si>
  <si>
    <t xml:space="preserve"> Потери</t>
  </si>
  <si>
    <t>1.2.1 Произведено из сахарной свеклы</t>
  </si>
  <si>
    <t>3.2. Сумма, на которую возможно уменьшить запасы на конец периода при сторнировании</t>
  </si>
  <si>
    <t>3.2.1. Сторно ввоза</t>
  </si>
  <si>
    <t>3.2.2. Сторно вывоза</t>
  </si>
  <si>
    <t>1.2.2 Произведено из сахара-сырца</t>
  </si>
  <si>
    <t>- производство сахара из сахара-сырца</t>
  </si>
  <si>
    <t>- производство сахара из сахарной свеклы</t>
  </si>
  <si>
    <t>Производство, из него: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</si>
  <si>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</si>
  <si>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</si>
  <si>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</si>
  <si>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</si>
  <si>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</si>
  <si>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</si>
  <si>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</si>
  <si>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</si>
  <si>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</si>
  <si>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</si>
  <si>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</si>
  <si>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</si>
  <si>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</si>
  <si>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</si>
  <si>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</si>
  <si>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тыс. т</t>
  </si>
  <si>
    <t>%</t>
  </si>
  <si>
    <t xml:space="preserve">1.2 Производство </t>
  </si>
  <si>
    <t>уд. вес</t>
  </si>
  <si>
    <t>Произведено из сахарной свеклы</t>
  </si>
  <si>
    <t>Ввоза, включая импорт</t>
  </si>
  <si>
    <t xml:space="preserve">Итого ресурсов </t>
  </si>
  <si>
    <t>Таблица 1 - Данные по инвестиционным проектам</t>
  </si>
  <si>
    <t>Таблица 2 - Статистическая база для разработки прогноза квартальных показателей</t>
  </si>
  <si>
    <t>Таблица 3 - Данные для корректировки прогноза согласно уровня исторического минимума</t>
  </si>
  <si>
    <t>Таблица 4 - Распределение годовых значений по кварталам</t>
  </si>
  <si>
    <t>Таблица 5 - Расчет корректировки согласно минимума исторического запаса (результат корректировки будет учтен на следующем шаге расчета)</t>
  </si>
  <si>
    <t>Справочно – выход сахара из свеклы (%)</t>
  </si>
  <si>
    <t>Производство (п.1.2 Баланса)</t>
  </si>
  <si>
    <t>Переработка (п.2.1 Баланса)</t>
  </si>
  <si>
    <t>Проверка на наличие данных в Балансе: если значение больше "0", значит проверка пройдена</t>
  </si>
  <si>
    <t>Проверка на наличие данных в Запасах: если значение больше "0", значит проверка пройдена</t>
  </si>
  <si>
    <t>Произведено из сахара-сырца</t>
  </si>
  <si>
    <t xml:space="preserve">(Таблица заполняется на основании модуля инвестиционных проектов региона на 3 прогнозных года с поквартальной разбивкой, необходима для </t>
  </si>
  <si>
    <r>
      <t xml:space="preserve">расчета прогнозных значений по статьям </t>
    </r>
    <r>
      <rPr>
        <i/>
        <sz val="10"/>
        <color rgb="FFFF0000"/>
        <rFont val="Times New Roman"/>
        <family val="1"/>
        <charset val="204"/>
      </rPr>
      <t xml:space="preserve">"1.2 Производство" </t>
    </r>
    <r>
      <rPr>
        <i/>
        <sz val="10"/>
        <color theme="9" tint="-0.249977111117893"/>
        <rFont val="Times New Roman"/>
        <family val="1"/>
        <charset val="204"/>
      </rPr>
      <t xml:space="preserve">и </t>
    </r>
    <r>
      <rPr>
        <i/>
        <sz val="10"/>
        <color rgb="FFFF0000"/>
        <rFont val="Times New Roman"/>
        <family val="1"/>
        <charset val="204"/>
      </rPr>
      <t xml:space="preserve">"2.1 Переработка" </t>
    </r>
    <r>
      <rPr>
        <i/>
        <sz val="10"/>
        <color theme="9" tint="-0.249977111117893"/>
        <rFont val="Times New Roman"/>
        <family val="1"/>
        <charset val="204"/>
      </rPr>
      <t>продовольственного баланса)</t>
    </r>
  </si>
  <si>
    <t xml:space="preserve">(Таблица содержит фактические значения балансов за 7 предыдущих лет с поквартальной разбивкой. Необходима для расчета минимального значения </t>
  </si>
  <si>
    <t>запасов для авто корректировки на листе "3.Прогноз.С_корректировкой таб5")</t>
  </si>
  <si>
    <t xml:space="preserve">(В таблице выполняется расчет значений для корректировок, согласно уровня исторического минимума запасов на конец периода, а также </t>
  </si>
  <si>
    <t>компенсаций произведенных корректировок в последующих кварталах прогнозного года)</t>
  </si>
  <si>
    <t>(В таблице рассчитываются коэффициенты для распределения годовых прогнозных значений на квартальные, на основании данных таблицы 2)</t>
  </si>
  <si>
    <t>Контрольная сумма: если значение не равно "0", значит необходимо скорректировать данные баланса Таблицы 2 и запасов Таблицы 3</t>
  </si>
  <si>
    <t>Комментарий по отклонению прогнозного баланса</t>
  </si>
  <si>
    <t>Показатель  баланса</t>
  </si>
  <si>
    <t>Отклонения (Прирост), %</t>
  </si>
  <si>
    <t>Комментарий</t>
  </si>
  <si>
    <t xml:space="preserve">   1.2 Производство</t>
  </si>
  <si>
    <t xml:space="preserve">   1.1 Запасы на начало периода</t>
  </si>
  <si>
    <t xml:space="preserve">     1.2.1 Произведено из сахарной свеклы</t>
  </si>
  <si>
    <t xml:space="preserve">     1.2.2 Произведено из сахара-сырца</t>
  </si>
  <si>
    <t xml:space="preserve">   1.3 Ввоз, включая импорт</t>
  </si>
  <si>
    <t xml:space="preserve">      2.1.1 Переработка на продовольственные цели</t>
  </si>
  <si>
    <t xml:space="preserve">      2.1.2 Переработка на другие цели</t>
  </si>
  <si>
    <t xml:space="preserve">   2.1 Переработка</t>
  </si>
  <si>
    <t xml:space="preserve">   2.2 Потери</t>
  </si>
  <si>
    <t xml:space="preserve">   2.3 Вывоз, включая экспорт</t>
  </si>
  <si>
    <t xml:space="preserve">   2.4 Личное потребление</t>
  </si>
  <si>
    <t>000155987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</si>
</sst>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_-* #,##0.00,_₽_-;\-* #,##0.00,_₽_-;_-* \-??\ _₽_-;_-@_-"/>
    <numFmt numFmtId="166" formatCode="0&quot; кв.&quot;"/>
    <numFmt numFmtId="167" formatCode="#,##0.000"/>
    <numFmt numFmtId="168" formatCode="#,##0_ ;[Red]\-#,##0\ "/>
    <numFmt numFmtId="169" formatCode="[=0]&quot;&quot;;General"/>
    <numFmt numFmtId="170" formatCode="#,##0.000_ ;\-#,##0.000\ "/>
  </numFmts>
  <fonts count="36" x14ac:knownFonts="1">
    <font>
      <sz val="11"/>
      <color rgb="FF000000"/>
      <name val="Calibri"/>
      <family val="2"/>
      <charset val="1"/>
    </font>
    <font>
      <sz val="11"/>
      <color indexed="55"/>
      <name val="Times New Roman"/>
      <family val="1"/>
      <charset val="204"/>
    </font>
    <font>
      <b/>
      <sz val="11"/>
      <color indexed="55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indexed="55"/>
      <name val="Times New Roman"/>
      <family val="1"/>
      <charset val="204"/>
    </font>
    <font>
      <sz val="11"/>
      <color indexed="45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55"/>
      <name val="Calibri"/>
      <family val="2"/>
      <charset val="1"/>
    </font>
    <font>
      <i/>
      <sz val="11"/>
      <color indexed="55"/>
      <name val="Calibri"/>
      <family val="2"/>
      <charset val="1"/>
    </font>
    <font>
      <b/>
      <sz val="11"/>
      <color indexed="55"/>
      <name val="Calibri"/>
      <family val="2"/>
      <charset val="1"/>
    </font>
    <font>
      <b/>
      <sz val="11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45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1"/>
      <name val="Calibri"/>
      <family val="2"/>
      <charset val="1"/>
    </font>
    <font>
      <sz val="8"/>
      <name val="Calibri"/>
      <family val="2"/>
      <charset val="1"/>
    </font>
    <font>
      <i/>
      <sz val="11"/>
      <color indexed="55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8"/>
      <name val="Times New Roman"/>
      <family val="1"/>
      <charset val="204"/>
    </font>
    <font>
      <i/>
      <sz val="10"/>
      <color theme="9" tint="-0.249977111117893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33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3"/>
        <bgColor indexed="18"/>
      </patternFill>
    </fill>
    <fill>
      <patternFill patternType="solid">
        <fgColor indexed="33"/>
        <bgColor indexed="64"/>
      </patternFill>
    </fill>
    <fill>
      <patternFill patternType="lightUp">
        <fgColor indexed="55"/>
        <bgColor indexed="1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F2DCDB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8"/>
      </patternFill>
    </fill>
    <fill>
      <patternFill patternType="solid">
        <fgColor theme="4" tint="0.59999389629810485"/>
        <bgColor rgb="FFDFDFE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rgb="FFFFFFCC"/>
        <bgColor indexed="64"/>
      </patternFill>
    </fill>
    <fill>
      <patternFill patternType="lightUp">
        <fgColor theme="1"/>
        <bgColor rgb="FFBFBFC0"/>
      </patternFill>
    </fill>
    <fill>
      <patternFill patternType="solid">
        <fgColor rgb="FFB9CDE5"/>
        <bgColor indexed="55"/>
      </patternFill>
    </fill>
  </fills>
  <borders count="6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4" fillId="0" borderId="0"/>
    <xf numFmtId="165" fontId="19" fillId="0" borderId="0" applyBorder="0" applyProtection="0"/>
    <xf numFmtId="165" fontId="19" fillId="0" borderId="0" applyBorder="0" applyProtection="0"/>
    <xf numFmtId="9" fontId="19" fillId="0" borderId="0" applyFont="0" applyFill="0" applyBorder="0" applyAlignment="0" applyProtection="0"/>
    <xf numFmtId="0" fontId="14" fillId="0" borderId="0"/>
  </cellStyleXfs>
  <cellXfs count="398">
    <xf numFmtId="0" fontId="0" fillId="0" borderId="0" xfId="0"/>
    <xf numFmtId="0" fontId="1" fillId="0" borderId="0" xfId="0" applyFont="1" applyBorder="1"/>
    <xf numFmtId="0" fontId="0" fillId="0" borderId="0" xfId="0" applyFont="1"/>
    <xf numFmtId="0" fontId="1" fillId="0" borderId="0" xfId="0" applyFont="1"/>
    <xf numFmtId="167" fontId="1" fillId="0" borderId="0" xfId="0" applyNumberFormat="1" applyFont="1"/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2" borderId="0" xfId="0" applyFill="1"/>
    <xf numFmtId="0" fontId="0" fillId="0" borderId="0" xfId="0" applyFill="1"/>
    <xf numFmtId="0" fontId="8" fillId="0" borderId="0" xfId="0" applyFont="1"/>
    <xf numFmtId="0" fontId="9" fillId="0" borderId="0" xfId="0" applyFont="1"/>
    <xf numFmtId="0" fontId="11" fillId="0" borderId="1" xfId="0" applyFont="1" applyFill="1" applyBorder="1" applyAlignment="1">
      <alignment horizontal="right"/>
    </xf>
    <xf numFmtId="0" fontId="10" fillId="0" borderId="0" xfId="0" applyFont="1" applyBorder="1" applyAlignment="1"/>
    <xf numFmtId="0" fontId="10" fillId="0" borderId="2" xfId="0" applyFont="1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vertical="center"/>
    </xf>
    <xf numFmtId="0" fontId="1" fillId="0" borderId="0" xfId="0" applyFont="1" applyBorder="1" applyAlignment="1"/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indent="2"/>
    </xf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/>
    <xf numFmtId="167" fontId="1" fillId="0" borderId="0" xfId="0" applyNumberFormat="1" applyFont="1" applyFill="1" applyBorder="1"/>
    <xf numFmtId="167" fontId="2" fillId="0" borderId="0" xfId="0" applyNumberFormat="1" applyFont="1" applyFill="1" applyBorder="1"/>
    <xf numFmtId="164" fontId="3" fillId="0" borderId="4" xfId="0" applyNumberFormat="1" applyFont="1" applyBorder="1" applyAlignment="1">
      <alignment horizontal="right"/>
    </xf>
    <xf numFmtId="0" fontId="0" fillId="0" borderId="0" xfId="0" applyFill="1" applyBorder="1"/>
    <xf numFmtId="49" fontId="16" fillId="0" borderId="0" xfId="0" applyNumberFormat="1" applyFont="1" applyProtection="1">
      <protection locked="0"/>
    </xf>
    <xf numFmtId="167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4" fontId="9" fillId="0" borderId="0" xfId="0" applyNumberFormat="1" applyFont="1"/>
    <xf numFmtId="0" fontId="1" fillId="0" borderId="0" xfId="0" applyFont="1" applyBorder="1" applyAlignment="1">
      <alignment horizontal="left" wrapText="1"/>
    </xf>
    <xf numFmtId="3" fontId="20" fillId="6" borderId="4" xfId="0" applyNumberFormat="1" applyFont="1" applyFill="1" applyBorder="1"/>
    <xf numFmtId="164" fontId="2" fillId="0" borderId="7" xfId="0" applyNumberFormat="1" applyFont="1" applyBorder="1" applyAlignment="1">
      <alignment horizontal="right"/>
    </xf>
    <xf numFmtId="164" fontId="2" fillId="0" borderId="20" xfId="0" applyNumberFormat="1" applyFont="1" applyBorder="1" applyAlignment="1">
      <alignment horizontal="right"/>
    </xf>
    <xf numFmtId="164" fontId="2" fillId="0" borderId="21" xfId="0" applyNumberFormat="1" applyFont="1" applyBorder="1" applyAlignment="1">
      <alignment horizontal="right"/>
    </xf>
    <xf numFmtId="164" fontId="2" fillId="0" borderId="22" xfId="0" applyNumberFormat="1" applyFont="1" applyBorder="1" applyAlignment="1">
      <alignment horizontal="right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164" fontId="2" fillId="0" borderId="23" xfId="0" applyNumberFormat="1" applyFont="1" applyBorder="1" applyAlignment="1">
      <alignment horizontal="right"/>
    </xf>
    <xf numFmtId="10" fontId="2" fillId="0" borderId="29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right"/>
    </xf>
    <xf numFmtId="164" fontId="2" fillId="0" borderId="31" xfId="0" applyNumberFormat="1" applyFont="1" applyBorder="1" applyAlignment="1">
      <alignment horizontal="right"/>
    </xf>
    <xf numFmtId="0" fontId="1" fillId="3" borderId="33" xfId="0" applyFont="1" applyFill="1" applyBorder="1" applyAlignment="1">
      <alignment horizontal="center"/>
    </xf>
    <xf numFmtId="10" fontId="2" fillId="0" borderId="13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8" borderId="0" xfId="0" applyFont="1" applyFill="1"/>
    <xf numFmtId="167" fontId="1" fillId="8" borderId="0" xfId="0" applyNumberFormat="1" applyFont="1" applyFill="1"/>
    <xf numFmtId="167" fontId="2" fillId="7" borderId="34" xfId="0" applyNumberFormat="1" applyFont="1" applyFill="1" applyBorder="1" applyAlignment="1">
      <alignment horizontal="right"/>
    </xf>
    <xf numFmtId="167" fontId="2" fillId="8" borderId="34" xfId="0" applyNumberFormat="1" applyFont="1" applyFill="1" applyBorder="1" applyAlignment="1">
      <alignment horizontal="right"/>
    </xf>
    <xf numFmtId="167" fontId="2" fillId="8" borderId="36" xfId="0" applyNumberFormat="1" applyFont="1" applyFill="1" applyBorder="1" applyAlignment="1">
      <alignment horizontal="right"/>
    </xf>
    <xf numFmtId="167" fontId="2" fillId="8" borderId="34" xfId="0" applyNumberFormat="1" applyFont="1" applyFill="1" applyBorder="1"/>
    <xf numFmtId="166" fontId="1" fillId="9" borderId="19" xfId="0" applyNumberFormat="1" applyFont="1" applyFill="1" applyBorder="1" applyAlignment="1">
      <alignment horizontal="center" vertical="center"/>
    </xf>
    <xf numFmtId="166" fontId="1" fillId="9" borderId="9" xfId="0" applyNumberFormat="1" applyFont="1" applyFill="1" applyBorder="1" applyAlignment="1">
      <alignment horizontal="center" vertical="center"/>
    </xf>
    <xf numFmtId="166" fontId="1" fillId="9" borderId="11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3" borderId="29" xfId="0" applyFont="1" applyFill="1" applyBorder="1" applyAlignment="1">
      <alignment horizontal="left"/>
    </xf>
    <xf numFmtId="0" fontId="2" fillId="3" borderId="29" xfId="0" applyFont="1" applyFill="1" applyBorder="1"/>
    <xf numFmtId="0" fontId="0" fillId="0" borderId="0" xfId="0" applyNumberFormat="1"/>
    <xf numFmtId="0" fontId="3" fillId="0" borderId="0" xfId="0" applyNumberFormat="1" applyFont="1" applyFill="1" applyBorder="1" applyAlignment="1">
      <alignment horizontal="right"/>
    </xf>
    <xf numFmtId="0" fontId="15" fillId="0" borderId="0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12" fillId="0" borderId="7" xfId="0" applyNumberFormat="1" applyFont="1" applyBorder="1" applyAlignment="1">
      <alignment horizontal="right"/>
    </xf>
    <xf numFmtId="169" fontId="12" fillId="0" borderId="7" xfId="0" applyNumberFormat="1" applyFont="1" applyBorder="1" applyAlignment="1">
      <alignment horizontal="right"/>
    </xf>
    <xf numFmtId="164" fontId="12" fillId="0" borderId="7" xfId="0" applyNumberFormat="1" applyFont="1" applyBorder="1" applyAlignment="1">
      <alignment horizontal="right" wrapText="1"/>
    </xf>
    <xf numFmtId="0" fontId="7" fillId="0" borderId="0" xfId="0" applyFont="1"/>
    <xf numFmtId="167" fontId="20" fillId="10" borderId="4" xfId="0" applyNumberFormat="1" applyFont="1" applyFill="1" applyBorder="1" applyAlignment="1" applyProtection="1">
      <alignment horizontal="right"/>
      <protection locked="0"/>
    </xf>
    <xf numFmtId="167" fontId="20" fillId="10" borderId="18" xfId="0" applyNumberFormat="1" applyFont="1" applyFill="1" applyBorder="1" applyAlignment="1" applyProtection="1">
      <alignment horizontal="right"/>
      <protection locked="0"/>
    </xf>
    <xf numFmtId="167" fontId="20" fillId="10" borderId="17" xfId="0" applyNumberFormat="1" applyFont="1" applyFill="1" applyBorder="1" applyAlignment="1" applyProtection="1">
      <alignment horizontal="right"/>
      <protection locked="0"/>
    </xf>
    <xf numFmtId="167" fontId="2" fillId="8" borderId="48" xfId="0" applyNumberFormat="1" applyFont="1" applyFill="1" applyBorder="1" applyAlignment="1">
      <alignment horizontal="right"/>
    </xf>
    <xf numFmtId="167" fontId="2" fillId="8" borderId="49" xfId="0" applyNumberFormat="1" applyFont="1" applyFill="1" applyBorder="1" applyAlignment="1">
      <alignment horizontal="right"/>
    </xf>
    <xf numFmtId="0" fontId="1" fillId="0" borderId="51" xfId="0" applyFont="1" applyFill="1" applyBorder="1" applyAlignment="1">
      <alignment horizontal="left" indent="1"/>
    </xf>
    <xf numFmtId="0" fontId="1" fillId="0" borderId="43" xfId="0" applyFont="1" applyFill="1" applyBorder="1" applyAlignment="1">
      <alignment horizontal="left" vertical="center" wrapText="1" indent="3"/>
    </xf>
    <xf numFmtId="0" fontId="1" fillId="0" borderId="2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8" borderId="52" xfId="0" applyFont="1" applyFill="1" applyBorder="1" applyAlignment="1">
      <alignment horizontal="center"/>
    </xf>
    <xf numFmtId="169" fontId="12" fillId="0" borderId="7" xfId="0" applyNumberFormat="1" applyFont="1" applyBorder="1" applyAlignment="1">
      <alignment horizontal="right" wrapText="1"/>
    </xf>
    <xf numFmtId="3" fontId="20" fillId="6" borderId="4" xfId="0" applyNumberFormat="1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8" borderId="50" xfId="0" applyFont="1" applyFill="1" applyBorder="1" applyAlignment="1">
      <alignment horizontal="left"/>
    </xf>
    <xf numFmtId="164" fontId="3" fillId="13" borderId="38" xfId="0" applyNumberFormat="1" applyFont="1" applyFill="1" applyBorder="1" applyAlignment="1">
      <alignment horizontal="right"/>
    </xf>
    <xf numFmtId="164" fontId="3" fillId="0" borderId="38" xfId="0" applyNumberFormat="1" applyFont="1" applyBorder="1" applyAlignment="1">
      <alignment horizontal="right"/>
    </xf>
    <xf numFmtId="164" fontId="3" fillId="0" borderId="42" xfId="0" applyNumberFormat="1" applyFont="1" applyBorder="1" applyAlignment="1">
      <alignment horizontal="right"/>
    </xf>
    <xf numFmtId="164" fontId="12" fillId="0" borderId="22" xfId="0" applyNumberFormat="1" applyFont="1" applyBorder="1" applyAlignment="1">
      <alignment horizontal="right"/>
    </xf>
    <xf numFmtId="164" fontId="3" fillId="0" borderId="35" xfId="0" applyNumberFormat="1" applyFont="1" applyBorder="1" applyAlignment="1">
      <alignment horizontal="right"/>
    </xf>
    <xf numFmtId="0" fontId="22" fillId="0" borderId="0" xfId="0" applyFont="1" applyFill="1"/>
    <xf numFmtId="0" fontId="23" fillId="0" borderId="0" xfId="0" applyFont="1"/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24" fillId="0" borderId="0" xfId="0" applyFont="1" applyAlignment="1">
      <alignment horizontal="right"/>
    </xf>
    <xf numFmtId="0" fontId="25" fillId="0" borderId="0" xfId="0" applyFont="1" applyProtection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Fill="1"/>
    <xf numFmtId="0" fontId="20" fillId="0" borderId="44" xfId="0" applyFont="1" applyBorder="1"/>
    <xf numFmtId="167" fontId="20" fillId="0" borderId="0" xfId="0" applyNumberFormat="1" applyFont="1" applyBorder="1"/>
    <xf numFmtId="167" fontId="20" fillId="0" borderId="0" xfId="0" applyNumberFormat="1" applyFont="1"/>
    <xf numFmtId="0" fontId="20" fillId="8" borderId="0" xfId="0" applyFont="1" applyFill="1"/>
    <xf numFmtId="165" fontId="5" fillId="0" borderId="0" xfId="3" applyFont="1" applyBorder="1" applyAlignment="1">
      <alignment horizontal="center"/>
    </xf>
    <xf numFmtId="165" fontId="13" fillId="0" borderId="0" xfId="3" applyFont="1" applyBorder="1" applyAlignment="1">
      <alignment horizontal="center" vertical="top" wrapText="1"/>
    </xf>
    <xf numFmtId="164" fontId="1" fillId="3" borderId="0" xfId="0" applyNumberFormat="1" applyFont="1" applyFill="1" applyBorder="1"/>
    <xf numFmtId="164" fontId="1" fillId="3" borderId="16" xfId="0" applyNumberFormat="1" applyFont="1" applyFill="1" applyBorder="1"/>
    <xf numFmtId="0" fontId="1" fillId="0" borderId="41" xfId="0" applyFont="1" applyFill="1" applyBorder="1" applyAlignment="1">
      <alignment horizontal="left" indent="1"/>
    </xf>
    <xf numFmtId="0" fontId="1" fillId="0" borderId="40" xfId="0" applyFont="1" applyFill="1" applyBorder="1" applyAlignment="1">
      <alignment horizontal="left" indent="1"/>
    </xf>
    <xf numFmtId="0" fontId="1" fillId="0" borderId="28" xfId="0" applyFont="1" applyFill="1" applyBorder="1" applyAlignment="1">
      <alignment horizontal="left" indent="1"/>
    </xf>
    <xf numFmtId="164" fontId="2" fillId="3" borderId="22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  <xf numFmtId="164" fontId="2" fillId="5" borderId="7" xfId="0" applyNumberFormat="1" applyFont="1" applyFill="1" applyBorder="1" applyAlignment="1">
      <alignment horizontal="right" vertical="center"/>
    </xf>
    <xf numFmtId="164" fontId="18" fillId="4" borderId="4" xfId="0" applyNumberFormat="1" applyFont="1" applyFill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4" fontId="20" fillId="10" borderId="6" xfId="0" applyNumberFormat="1" applyFont="1" applyFill="1" applyBorder="1" applyAlignment="1" applyProtection="1">
      <alignment horizontal="right" vertical="center"/>
      <protection locked="0"/>
    </xf>
    <xf numFmtId="164" fontId="20" fillId="10" borderId="4" xfId="0" applyNumberFormat="1" applyFont="1" applyFill="1" applyBorder="1" applyAlignment="1" applyProtection="1">
      <alignment horizontal="right" vertical="center"/>
      <protection locked="0"/>
    </xf>
    <xf numFmtId="164" fontId="2" fillId="11" borderId="7" xfId="0" applyNumberFormat="1" applyFont="1" applyFill="1" applyBorder="1" applyAlignment="1">
      <alignment horizontal="right" vertical="center"/>
    </xf>
    <xf numFmtId="164" fontId="2" fillId="11" borderId="21" xfId="0" applyNumberFormat="1" applyFont="1" applyFill="1" applyBorder="1" applyAlignment="1">
      <alignment horizontal="right" vertical="center"/>
    </xf>
    <xf numFmtId="0" fontId="27" fillId="0" borderId="0" xfId="0" applyFont="1" applyBorder="1" applyAlignment="1"/>
    <xf numFmtId="0" fontId="27" fillId="0" borderId="2" xfId="0" applyFont="1" applyBorder="1" applyAlignment="1">
      <alignment horizontal="center"/>
    </xf>
    <xf numFmtId="0" fontId="28" fillId="0" borderId="1" xfId="0" applyFont="1" applyFill="1" applyBorder="1" applyAlignment="1">
      <alignment horizontal="right"/>
    </xf>
    <xf numFmtId="168" fontId="28" fillId="8" borderId="4" xfId="0" applyNumberFormat="1" applyFont="1" applyFill="1" applyBorder="1"/>
    <xf numFmtId="0" fontId="28" fillId="0" borderId="0" xfId="0" applyFont="1" applyFill="1" applyBorder="1" applyAlignment="1">
      <alignment horizontal="right"/>
    </xf>
    <xf numFmtId="168" fontId="28" fillId="0" borderId="0" xfId="0" applyNumberFormat="1" applyFont="1" applyFill="1" applyBorder="1"/>
    <xf numFmtId="0" fontId="20" fillId="0" borderId="0" xfId="0" applyFont="1" applyAlignment="1">
      <alignment vertical="center"/>
    </xf>
    <xf numFmtId="167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7" fontId="2" fillId="0" borderId="0" xfId="0" applyNumberFormat="1" applyFont="1" applyFill="1" applyBorder="1" applyAlignment="1">
      <alignment vertical="center"/>
    </xf>
    <xf numFmtId="167" fontId="1" fillId="0" borderId="0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0" fillId="0" borderId="0" xfId="0" applyAlignment="1">
      <alignment horizontal="right"/>
    </xf>
    <xf numFmtId="0" fontId="1" fillId="8" borderId="17" xfId="0" applyFont="1" applyFill="1" applyBorder="1" applyAlignment="1">
      <alignment horizontal="center"/>
    </xf>
    <xf numFmtId="164" fontId="20" fillId="10" borderId="5" xfId="0" applyNumberFormat="1" applyFont="1" applyFill="1" applyBorder="1" applyAlignment="1" applyProtection="1">
      <alignment horizontal="right" vertical="center"/>
      <protection locked="0"/>
    </xf>
    <xf numFmtId="164" fontId="20" fillId="10" borderId="56" xfId="0" applyNumberFormat="1" applyFont="1" applyFill="1" applyBorder="1" applyAlignment="1" applyProtection="1">
      <alignment horizontal="right" vertical="center"/>
      <protection locked="0"/>
    </xf>
    <xf numFmtId="167" fontId="1" fillId="0" borderId="18" xfId="0" applyNumberFormat="1" applyFont="1" applyBorder="1" applyAlignment="1">
      <alignment vertical="center"/>
    </xf>
    <xf numFmtId="167" fontId="1" fillId="0" borderId="4" xfId="0" applyNumberFormat="1" applyFont="1" applyBorder="1" applyAlignment="1">
      <alignment vertical="center"/>
    </xf>
    <xf numFmtId="167" fontId="1" fillId="0" borderId="17" xfId="0" applyNumberFormat="1" applyFont="1" applyBorder="1" applyAlignment="1">
      <alignment vertical="center"/>
    </xf>
    <xf numFmtId="164" fontId="2" fillId="2" borderId="46" xfId="0" applyNumberFormat="1" applyFont="1" applyFill="1" applyBorder="1" applyAlignment="1">
      <alignment vertical="center"/>
    </xf>
    <xf numFmtId="167" fontId="3" fillId="0" borderId="4" xfId="0" applyNumberFormat="1" applyFont="1" applyBorder="1" applyAlignment="1">
      <alignment vertical="center"/>
    </xf>
    <xf numFmtId="167" fontId="3" fillId="0" borderId="17" xfId="0" applyNumberFormat="1" applyFont="1" applyBorder="1" applyAlignment="1">
      <alignment vertical="center"/>
    </xf>
    <xf numFmtId="167" fontId="3" fillId="0" borderId="18" xfId="0" applyNumberFormat="1" applyFont="1" applyBorder="1" applyAlignment="1">
      <alignment vertical="center"/>
    </xf>
    <xf numFmtId="167" fontId="1" fillId="0" borderId="19" xfId="0" applyNumberFormat="1" applyFont="1" applyBorder="1" applyAlignment="1">
      <alignment vertical="center"/>
    </xf>
    <xf numFmtId="167" fontId="1" fillId="0" borderId="9" xfId="0" applyNumberFormat="1" applyFont="1" applyBorder="1" applyAlignment="1">
      <alignment vertical="center"/>
    </xf>
    <xf numFmtId="167" fontId="1" fillId="0" borderId="11" xfId="0" applyNumberFormat="1" applyFont="1" applyBorder="1" applyAlignment="1">
      <alignment vertical="center"/>
    </xf>
    <xf numFmtId="0" fontId="4" fillId="0" borderId="43" xfId="0" applyFont="1" applyFill="1" applyBorder="1" applyAlignment="1">
      <alignment horizontal="left" vertical="center" indent="4"/>
    </xf>
    <xf numFmtId="9" fontId="4" fillId="0" borderId="7" xfId="4" applyFont="1" applyBorder="1" applyAlignment="1">
      <alignment horizontal="right" vertical="center"/>
    </xf>
    <xf numFmtId="167" fontId="1" fillId="0" borderId="37" xfId="0" applyNumberFormat="1" applyFont="1" applyBorder="1" applyAlignment="1">
      <alignment vertical="center"/>
    </xf>
    <xf numFmtId="167" fontId="1" fillId="0" borderId="38" xfId="0" applyNumberFormat="1" applyFont="1" applyBorder="1" applyAlignment="1">
      <alignment vertical="center"/>
    </xf>
    <xf numFmtId="167" fontId="1" fillId="0" borderId="39" xfId="0" applyNumberFormat="1" applyFont="1" applyBorder="1" applyAlignment="1">
      <alignment vertical="center"/>
    </xf>
    <xf numFmtId="164" fontId="2" fillId="2" borderId="57" xfId="0" applyNumberFormat="1" applyFont="1" applyFill="1" applyBorder="1" applyAlignment="1">
      <alignment vertical="center"/>
    </xf>
    <xf numFmtId="164" fontId="2" fillId="2" borderId="53" xfId="0" applyNumberFormat="1" applyFont="1" applyFill="1" applyBorder="1" applyAlignment="1">
      <alignment vertical="center"/>
    </xf>
    <xf numFmtId="164" fontId="2" fillId="2" borderId="58" xfId="0" applyNumberFormat="1" applyFont="1" applyFill="1" applyBorder="1" applyAlignment="1">
      <alignment vertical="center"/>
    </xf>
    <xf numFmtId="164" fontId="2" fillId="2" borderId="40" xfId="0" applyNumberFormat="1" applyFont="1" applyFill="1" applyBorder="1" applyAlignment="1">
      <alignment vertical="center"/>
    </xf>
    <xf numFmtId="164" fontId="2" fillId="2" borderId="59" xfId="0" applyNumberFormat="1" applyFont="1" applyFill="1" applyBorder="1" applyAlignment="1">
      <alignment vertical="center"/>
    </xf>
    <xf numFmtId="164" fontId="2" fillId="2" borderId="60" xfId="0" applyNumberFormat="1" applyFont="1" applyFill="1" applyBorder="1" applyAlignment="1">
      <alignment vertical="center"/>
    </xf>
    <xf numFmtId="164" fontId="2" fillId="2" borderId="61" xfId="0" applyNumberFormat="1" applyFont="1" applyFill="1" applyBorder="1" applyAlignment="1">
      <alignment vertical="center"/>
    </xf>
    <xf numFmtId="164" fontId="2" fillId="2" borderId="56" xfId="0" applyNumberFormat="1" applyFont="1" applyFill="1" applyBorder="1" applyAlignment="1">
      <alignment vertical="center"/>
    </xf>
    <xf numFmtId="167" fontId="1" fillId="0" borderId="57" xfId="0" applyNumberFormat="1" applyFont="1" applyBorder="1" applyAlignment="1">
      <alignment vertical="center"/>
    </xf>
    <xf numFmtId="167" fontId="1" fillId="0" borderId="53" xfId="0" applyNumberFormat="1" applyFont="1" applyBorder="1" applyAlignment="1">
      <alignment vertical="center"/>
    </xf>
    <xf numFmtId="167" fontId="1" fillId="0" borderId="58" xfId="0" applyNumberFormat="1" applyFont="1" applyBorder="1" applyAlignment="1">
      <alignment vertical="center"/>
    </xf>
    <xf numFmtId="167" fontId="3" fillId="0" borderId="38" xfId="0" applyNumberFormat="1" applyFont="1" applyBorder="1" applyAlignment="1">
      <alignment vertical="center"/>
    </xf>
    <xf numFmtId="167" fontId="3" fillId="0" borderId="39" xfId="0" applyNumberFormat="1" applyFont="1" applyBorder="1" applyAlignment="1">
      <alignment vertical="center"/>
    </xf>
    <xf numFmtId="167" fontId="3" fillId="0" borderId="37" xfId="0" applyNumberFormat="1" applyFont="1" applyBorder="1" applyAlignment="1">
      <alignment vertical="center"/>
    </xf>
    <xf numFmtId="0" fontId="12" fillId="2" borderId="5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left" vertical="center" indent="1"/>
    </xf>
    <xf numFmtId="0" fontId="2" fillId="3" borderId="43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center"/>
    </xf>
    <xf numFmtId="0" fontId="1" fillId="0" borderId="43" xfId="0" applyFont="1" applyBorder="1" applyAlignment="1">
      <alignment horizontal="left" vertical="center" indent="2"/>
    </xf>
    <xf numFmtId="0" fontId="1" fillId="0" borderId="28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center" vertical="center"/>
    </xf>
    <xf numFmtId="167" fontId="1" fillId="7" borderId="18" xfId="0" applyNumberFormat="1" applyFont="1" applyFill="1" applyBorder="1" applyAlignment="1">
      <alignment horizontal="right"/>
    </xf>
    <xf numFmtId="167" fontId="1" fillId="7" borderId="6" xfId="0" applyNumberFormat="1" applyFont="1" applyFill="1" applyBorder="1" applyAlignment="1">
      <alignment horizontal="right"/>
    </xf>
    <xf numFmtId="167" fontId="1" fillId="7" borderId="46" xfId="0" applyNumberFormat="1" applyFont="1" applyFill="1" applyBorder="1" applyAlignment="1">
      <alignment horizontal="right"/>
    </xf>
    <xf numFmtId="164" fontId="2" fillId="0" borderId="22" xfId="0" applyNumberFormat="1" applyFont="1" applyBorder="1" applyAlignment="1">
      <alignment horizontal="right" vertical="center"/>
    </xf>
    <xf numFmtId="167" fontId="20" fillId="10" borderId="32" xfId="0" applyNumberFormat="1" applyFont="1" applyFill="1" applyBorder="1" applyAlignment="1" applyProtection="1">
      <alignment horizontal="right" vertical="center"/>
      <protection locked="0"/>
    </xf>
    <xf numFmtId="164" fontId="1" fillId="0" borderId="25" xfId="0" applyNumberFormat="1" applyFont="1" applyBorder="1" applyAlignment="1">
      <alignment horizontal="right" vertical="center"/>
    </xf>
    <xf numFmtId="164" fontId="1" fillId="0" borderId="27" xfId="0" applyNumberFormat="1" applyFont="1" applyBorder="1" applyAlignment="1">
      <alignment horizontal="right" vertical="center"/>
    </xf>
    <xf numFmtId="167" fontId="1" fillId="7" borderId="25" xfId="0" applyNumberFormat="1" applyFont="1" applyFill="1" applyBorder="1" applyAlignment="1">
      <alignment horizontal="right" vertical="center"/>
    </xf>
    <xf numFmtId="167" fontId="1" fillId="7" borderId="27" xfId="0" applyNumberFormat="1" applyFont="1" applyFill="1" applyBorder="1" applyAlignment="1">
      <alignment horizontal="right" vertical="center"/>
    </xf>
    <xf numFmtId="167" fontId="1" fillId="7" borderId="37" xfId="0" applyNumberFormat="1" applyFont="1" applyFill="1" applyBorder="1" applyAlignment="1">
      <alignment horizontal="right" vertical="center"/>
    </xf>
    <xf numFmtId="167" fontId="1" fillId="7" borderId="35" xfId="0" applyNumberFormat="1" applyFont="1" applyFill="1" applyBorder="1" applyAlignment="1">
      <alignment horizontal="right" vertical="center"/>
    </xf>
    <xf numFmtId="167" fontId="1" fillId="7" borderId="45" xfId="0" applyNumberFormat="1" applyFont="1" applyFill="1" applyBorder="1" applyAlignment="1">
      <alignment horizontal="right" vertical="center"/>
    </xf>
    <xf numFmtId="0" fontId="29" fillId="0" borderId="29" xfId="0" applyFont="1" applyBorder="1" applyAlignment="1">
      <alignment vertical="center" wrapText="1"/>
    </xf>
    <xf numFmtId="170" fontId="30" fillId="0" borderId="14" xfId="3" applyNumberFormat="1" applyFont="1" applyBorder="1" applyAlignment="1">
      <alignment horizontal="right" vertical="center"/>
    </xf>
    <xf numFmtId="170" fontId="30" fillId="0" borderId="12" xfId="3" applyNumberFormat="1" applyFont="1" applyBorder="1" applyAlignment="1">
      <alignment horizontal="right" vertical="center"/>
    </xf>
    <xf numFmtId="170" fontId="30" fillId="0" borderId="13" xfId="3" applyNumberFormat="1" applyFont="1" applyBorder="1" applyAlignment="1">
      <alignment horizontal="right" vertical="center"/>
    </xf>
    <xf numFmtId="0" fontId="30" fillId="0" borderId="13" xfId="0" applyFont="1" applyBorder="1" applyAlignment="1">
      <alignment horizontal="center" vertical="center"/>
    </xf>
    <xf numFmtId="165" fontId="29" fillId="0" borderId="47" xfId="3" applyFont="1" applyBorder="1" applyAlignment="1">
      <alignment horizontal="center" vertical="center" wrapText="1"/>
    </xf>
    <xf numFmtId="165" fontId="29" fillId="0" borderId="14" xfId="3" applyFont="1" applyBorder="1" applyAlignment="1">
      <alignment horizontal="center" vertical="center" wrapText="1"/>
    </xf>
    <xf numFmtId="165" fontId="30" fillId="0" borderId="13" xfId="3" applyFont="1" applyBorder="1" applyAlignment="1">
      <alignment horizontal="center" vertical="center"/>
    </xf>
    <xf numFmtId="165" fontId="29" fillId="0" borderId="12" xfId="3" applyFont="1" applyBorder="1" applyAlignment="1">
      <alignment horizontal="center" vertical="center" wrapText="1"/>
    </xf>
    <xf numFmtId="165" fontId="29" fillId="0" borderId="15" xfId="3" applyFont="1" applyBorder="1" applyAlignment="1">
      <alignment horizontal="center" vertical="center" wrapText="1"/>
    </xf>
    <xf numFmtId="165" fontId="29" fillId="0" borderId="13" xfId="3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1" fillId="3" borderId="33" xfId="0" applyFont="1" applyFill="1" applyBorder="1"/>
    <xf numFmtId="0" fontId="1" fillId="3" borderId="16" xfId="0" applyFont="1" applyFill="1" applyBorder="1"/>
    <xf numFmtId="0" fontId="2" fillId="2" borderId="54" xfId="0" applyFont="1" applyFill="1" applyBorder="1" applyAlignment="1">
      <alignment horizontal="left" vertical="center"/>
    </xf>
    <xf numFmtId="0" fontId="12" fillId="2" borderId="62" xfId="0" applyFont="1" applyFill="1" applyBorder="1" applyAlignment="1">
      <alignment horizontal="center" vertical="center"/>
    </xf>
    <xf numFmtId="167" fontId="2" fillId="3" borderId="62" xfId="0" applyNumberFormat="1" applyFont="1" applyFill="1" applyBorder="1" applyAlignment="1">
      <alignment vertical="center"/>
    </xf>
    <xf numFmtId="167" fontId="2" fillId="3" borderId="30" xfId="0" applyNumberFormat="1" applyFont="1" applyFill="1" applyBorder="1" applyAlignment="1">
      <alignment vertical="center"/>
    </xf>
    <xf numFmtId="0" fontId="12" fillId="2" borderId="56" xfId="0" applyFont="1" applyFill="1" applyBorder="1" applyAlignment="1">
      <alignment horizontal="center" vertical="center"/>
    </xf>
    <xf numFmtId="170" fontId="30" fillId="0" borderId="15" xfId="3" applyNumberFormat="1" applyFont="1" applyBorder="1" applyAlignment="1">
      <alignment horizontal="right" vertical="center"/>
    </xf>
    <xf numFmtId="165" fontId="29" fillId="0" borderId="33" xfId="3" applyFont="1" applyBorder="1" applyAlignment="1">
      <alignment horizontal="center" vertical="center" wrapText="1"/>
    </xf>
    <xf numFmtId="0" fontId="1" fillId="8" borderId="41" xfId="0" applyFont="1" applyFill="1" applyBorder="1" applyAlignment="1">
      <alignment horizontal="left" vertical="center"/>
    </xf>
    <xf numFmtId="0" fontId="1" fillId="8" borderId="43" xfId="0" applyFont="1" applyFill="1" applyBorder="1" applyAlignment="1">
      <alignment horizontal="left"/>
    </xf>
    <xf numFmtId="0" fontId="1" fillId="8" borderId="28" xfId="0" applyFont="1" applyFill="1" applyBorder="1" applyAlignment="1">
      <alignment horizontal="left"/>
    </xf>
    <xf numFmtId="165" fontId="29" fillId="0" borderId="16" xfId="3" applyFont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left" vertical="center" indent="2"/>
    </xf>
    <xf numFmtId="164" fontId="31" fillId="10" borderId="6" xfId="0" applyNumberFormat="1" applyFont="1" applyFill="1" applyBorder="1" applyAlignment="1" applyProtection="1">
      <alignment horizontal="right" vertical="center"/>
      <protection locked="0"/>
    </xf>
    <xf numFmtId="164" fontId="31" fillId="10" borderId="4" xfId="0" applyNumberFormat="1" applyFont="1" applyFill="1" applyBorder="1" applyAlignment="1" applyProtection="1">
      <alignment horizontal="right" vertical="center"/>
      <protection locked="0"/>
    </xf>
    <xf numFmtId="0" fontId="1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9" fillId="0" borderId="0" xfId="0" applyFont="1" applyFill="1" applyBorder="1" applyAlignment="1"/>
    <xf numFmtId="0" fontId="32" fillId="0" borderId="0" xfId="0" applyFont="1" applyAlignment="1">
      <alignment horizontal="center"/>
    </xf>
    <xf numFmtId="167" fontId="31" fillId="14" borderId="4" xfId="0" applyNumberFormat="1" applyFont="1" applyFill="1" applyBorder="1" applyAlignment="1">
      <alignment horizontal="right" vertical="center"/>
    </xf>
    <xf numFmtId="167" fontId="30" fillId="0" borderId="0" xfId="3" applyNumberFormat="1" applyFont="1" applyAlignment="1">
      <alignment horizontal="right"/>
    </xf>
    <xf numFmtId="167" fontId="5" fillId="0" borderId="0" xfId="3" applyNumberFormat="1" applyFont="1" applyAlignment="1">
      <alignment horizontal="right"/>
    </xf>
    <xf numFmtId="0" fontId="30" fillId="0" borderId="0" xfId="0" applyFont="1" applyAlignment="1">
      <alignment horizontal="center"/>
    </xf>
    <xf numFmtId="0" fontId="30" fillId="0" borderId="0" xfId="0" applyFont="1" applyFill="1" applyBorder="1"/>
    <xf numFmtId="0" fontId="30" fillId="0" borderId="0" xfId="0" applyFont="1" applyFill="1"/>
    <xf numFmtId="164" fontId="3" fillId="13" borderId="35" xfId="0" applyNumberFormat="1" applyFont="1" applyFill="1" applyBorder="1" applyAlignment="1">
      <alignment horizontal="right"/>
    </xf>
    <xf numFmtId="0" fontId="3" fillId="0" borderId="22" xfId="0" applyNumberFormat="1" applyFont="1" applyBorder="1" applyAlignment="1">
      <alignment horizontal="left" vertical="center" wrapText="1"/>
    </xf>
    <xf numFmtId="0" fontId="3" fillId="0" borderId="7" xfId="0" applyNumberFormat="1" applyFont="1" applyBorder="1" applyAlignment="1">
      <alignment horizontal="left" vertical="center" wrapText="1"/>
    </xf>
    <xf numFmtId="0" fontId="3" fillId="0" borderId="23" xfId="0" applyNumberFormat="1" applyFont="1" applyBorder="1" applyAlignment="1">
      <alignment horizontal="left" vertical="center" wrapText="1"/>
    </xf>
    <xf numFmtId="164" fontId="3" fillId="13" borderId="60" xfId="0" applyNumberFormat="1" applyFont="1" applyFill="1" applyBorder="1" applyAlignment="1">
      <alignment horizontal="right"/>
    </xf>
    <xf numFmtId="164" fontId="3" fillId="13" borderId="53" xfId="0" applyNumberFormat="1" applyFont="1" applyFill="1" applyBorder="1" applyAlignment="1">
      <alignment horizontal="right"/>
    </xf>
    <xf numFmtId="164" fontId="12" fillId="0" borderId="23" xfId="0" applyNumberFormat="1" applyFont="1" applyBorder="1" applyAlignment="1">
      <alignment horizontal="right"/>
    </xf>
    <xf numFmtId="0" fontId="3" fillId="0" borderId="47" xfId="0" applyNumberFormat="1" applyFont="1" applyBorder="1" applyAlignment="1">
      <alignment horizontal="left" vertical="center" wrapText="1"/>
    </xf>
    <xf numFmtId="169" fontId="12" fillId="0" borderId="14" xfId="0" applyNumberFormat="1" applyFont="1" applyBorder="1" applyAlignment="1">
      <alignment horizontal="right"/>
    </xf>
    <xf numFmtId="169" fontId="12" fillId="0" borderId="12" xfId="0" applyNumberFormat="1" applyFont="1" applyBorder="1" applyAlignment="1">
      <alignment horizontal="right"/>
    </xf>
    <xf numFmtId="169" fontId="12" fillId="0" borderId="15" xfId="0" applyNumberFormat="1" applyFont="1" applyBorder="1" applyAlignment="1">
      <alignment horizontal="right"/>
    </xf>
    <xf numFmtId="169" fontId="12" fillId="0" borderId="47" xfId="0" applyNumberFormat="1" applyFont="1" applyBorder="1" applyAlignment="1">
      <alignment horizontal="right"/>
    </xf>
    <xf numFmtId="0" fontId="24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 wrapText="1"/>
    </xf>
    <xf numFmtId="0" fontId="0" fillId="0" borderId="0" xfId="0" applyNumberFormat="1" applyBorder="1"/>
    <xf numFmtId="167" fontId="29" fillId="0" borderId="0" xfId="3" applyNumberFormat="1" applyFont="1" applyAlignment="1">
      <alignment horizontal="right"/>
    </xf>
    <xf numFmtId="167" fontId="13" fillId="0" borderId="0" xfId="3" applyNumberFormat="1" applyFont="1" applyAlignment="1">
      <alignment horizontal="right"/>
    </xf>
    <xf numFmtId="170" fontId="29" fillId="0" borderId="16" xfId="3" applyNumberFormat="1" applyFont="1" applyBorder="1" applyAlignment="1">
      <alignment horizontal="right" vertical="center"/>
    </xf>
    <xf numFmtId="170" fontId="29" fillId="0" borderId="47" xfId="3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 vertical="center" wrapText="1" indent="1"/>
    </xf>
    <xf numFmtId="0" fontId="1" fillId="8" borderId="39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/>
    </xf>
    <xf numFmtId="0" fontId="1" fillId="3" borderId="41" xfId="0" applyFont="1" applyFill="1" applyBorder="1" applyAlignment="1">
      <alignment horizontal="left" vertical="center" indent="1"/>
    </xf>
    <xf numFmtId="0" fontId="1" fillId="2" borderId="39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left" vertical="center" indent="1"/>
    </xf>
    <xf numFmtId="0" fontId="1" fillId="2" borderId="17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left" vertical="center" indent="2"/>
    </xf>
    <xf numFmtId="0" fontId="1" fillId="11" borderId="43" xfId="0" applyFont="1" applyFill="1" applyBorder="1" applyAlignment="1">
      <alignment horizontal="left" vertical="center"/>
    </xf>
    <xf numFmtId="164" fontId="1" fillId="11" borderId="17" xfId="0" applyNumberFormat="1" applyFont="1" applyFill="1" applyBorder="1" applyAlignment="1">
      <alignment horizontal="center" vertical="center"/>
    </xf>
    <xf numFmtId="164" fontId="1" fillId="3" borderId="17" xfId="0" applyNumberFormat="1" applyFont="1" applyFill="1" applyBorder="1" applyAlignment="1">
      <alignment horizontal="center" vertical="center"/>
    </xf>
    <xf numFmtId="16" fontId="1" fillId="3" borderId="43" xfId="0" applyNumberFormat="1" applyFont="1" applyFill="1" applyBorder="1" applyAlignment="1">
      <alignment horizontal="left" vertical="center" indent="2"/>
    </xf>
    <xf numFmtId="164" fontId="1" fillId="3" borderId="43" xfId="0" applyNumberFormat="1" applyFont="1" applyFill="1" applyBorder="1" applyAlignment="1">
      <alignment horizontal="left" vertical="center" indent="2"/>
    </xf>
    <xf numFmtId="0" fontId="1" fillId="5" borderId="17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11" borderId="28" xfId="0" applyFont="1" applyFill="1" applyBorder="1" applyAlignment="1">
      <alignment horizontal="left" vertical="center"/>
    </xf>
    <xf numFmtId="164" fontId="1" fillId="11" borderId="11" xfId="0" applyNumberFormat="1" applyFont="1" applyFill="1" applyBorder="1" applyAlignment="1">
      <alignment horizontal="center" vertical="center"/>
    </xf>
    <xf numFmtId="164" fontId="1" fillId="3" borderId="35" xfId="0" applyNumberFormat="1" applyFont="1" applyFill="1" applyBorder="1" applyAlignment="1">
      <alignment horizontal="right" vertical="center"/>
    </xf>
    <xf numFmtId="164" fontId="1" fillId="3" borderId="38" xfId="0" applyNumberFormat="1" applyFont="1" applyFill="1" applyBorder="1" applyAlignment="1">
      <alignment horizontal="right" vertical="center"/>
    </xf>
    <xf numFmtId="164" fontId="1" fillId="3" borderId="42" xfId="0" applyNumberFormat="1" applyFont="1" applyFill="1" applyBorder="1" applyAlignment="1">
      <alignment horizontal="right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164" fontId="4" fillId="4" borderId="6" xfId="0" applyNumberFormat="1" applyFont="1" applyFill="1" applyBorder="1" applyAlignment="1">
      <alignment horizontal="right" vertical="center"/>
    </xf>
    <xf numFmtId="164" fontId="4" fillId="4" borderId="4" xfId="0" applyNumberFormat="1" applyFont="1" applyFill="1" applyBorder="1" applyAlignment="1">
      <alignment horizontal="right" vertical="center"/>
    </xf>
    <xf numFmtId="164" fontId="4" fillId="4" borderId="5" xfId="0" applyNumberFormat="1" applyFont="1" applyFill="1" applyBorder="1" applyAlignment="1">
      <alignment horizontal="right" vertical="center"/>
    </xf>
    <xf numFmtId="164" fontId="1" fillId="11" borderId="6" xfId="0" applyNumberFormat="1" applyFont="1" applyFill="1" applyBorder="1" applyAlignment="1">
      <alignment horizontal="right" vertical="center"/>
    </xf>
    <xf numFmtId="164" fontId="1" fillId="11" borderId="4" xfId="0" applyNumberFormat="1" applyFont="1" applyFill="1" applyBorder="1" applyAlignment="1">
      <alignment horizontal="right" vertical="center"/>
    </xf>
    <xf numFmtId="164" fontId="1" fillId="11" borderId="5" xfId="0" applyNumberFormat="1" applyFont="1" applyFill="1" applyBorder="1" applyAlignment="1">
      <alignment horizontal="right" vertical="center"/>
    </xf>
    <xf numFmtId="164" fontId="1" fillId="5" borderId="6" xfId="0" applyNumberFormat="1" applyFont="1" applyFill="1" applyBorder="1" applyAlignment="1">
      <alignment horizontal="right" vertical="center"/>
    </xf>
    <xf numFmtId="164" fontId="1" fillId="5" borderId="4" xfId="0" applyNumberFormat="1" applyFont="1" applyFill="1" applyBorder="1" applyAlignment="1">
      <alignment horizontal="right" vertical="center"/>
    </xf>
    <xf numFmtId="164" fontId="1" fillId="11" borderId="8" xfId="0" applyNumberFormat="1" applyFont="1" applyFill="1" applyBorder="1" applyAlignment="1">
      <alignment horizontal="right" vertical="center"/>
    </xf>
    <xf numFmtId="164" fontId="1" fillId="11" borderId="9" xfId="0" applyNumberFormat="1" applyFont="1" applyFill="1" applyBorder="1" applyAlignment="1">
      <alignment horizontal="right" vertical="center"/>
    </xf>
    <xf numFmtId="164" fontId="1" fillId="11" borderId="10" xfId="0" applyNumberFormat="1" applyFont="1" applyFill="1" applyBorder="1" applyAlignment="1">
      <alignment horizontal="right" vertical="center"/>
    </xf>
    <xf numFmtId="164" fontId="1" fillId="3" borderId="56" xfId="0" applyNumberFormat="1" applyFont="1" applyFill="1" applyBorder="1" applyAlignment="1">
      <alignment horizontal="right" vertical="center"/>
    </xf>
    <xf numFmtId="164" fontId="1" fillId="5" borderId="5" xfId="0" applyNumberFormat="1" applyFont="1" applyFill="1" applyBorder="1" applyAlignment="1">
      <alignment horizontal="right" vertical="center"/>
    </xf>
    <xf numFmtId="0" fontId="1" fillId="2" borderId="39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67" fontId="1" fillId="7" borderId="32" xfId="0" applyNumberFormat="1" applyFont="1" applyFill="1" applyBorder="1" applyAlignment="1">
      <alignment horizontal="right" vertical="center"/>
    </xf>
    <xf numFmtId="164" fontId="20" fillId="6" borderId="24" xfId="0" applyNumberFormat="1" applyFont="1" applyFill="1" applyBorder="1" applyProtection="1">
      <protection locked="0"/>
    </xf>
    <xf numFmtId="164" fontId="20" fillId="6" borderId="25" xfId="0" applyNumberFormat="1" applyFont="1" applyFill="1" applyBorder="1" applyProtection="1">
      <protection locked="0"/>
    </xf>
    <xf numFmtId="164" fontId="20" fillId="6" borderId="26" xfId="0" applyNumberFormat="1" applyFont="1" applyFill="1" applyBorder="1" applyProtection="1">
      <protection locked="0"/>
    </xf>
    <xf numFmtId="164" fontId="20" fillId="6" borderId="8" xfId="0" applyNumberFormat="1" applyFont="1" applyFill="1" applyBorder="1" applyProtection="1">
      <protection locked="0"/>
    </xf>
    <xf numFmtId="164" fontId="20" fillId="6" borderId="9" xfId="0" applyNumberFormat="1" applyFont="1" applyFill="1" applyBorder="1" applyProtection="1">
      <protection locked="0"/>
    </xf>
    <xf numFmtId="164" fontId="20" fillId="6" borderId="10" xfId="0" applyNumberFormat="1" applyFont="1" applyFill="1" applyBorder="1" applyProtection="1">
      <protection locked="0"/>
    </xf>
    <xf numFmtId="167" fontId="20" fillId="10" borderId="19" xfId="0" applyNumberFormat="1" applyFont="1" applyFill="1" applyBorder="1" applyAlignment="1" applyProtection="1">
      <alignment horizontal="right"/>
      <protection locked="0" hidden="1"/>
    </xf>
    <xf numFmtId="167" fontId="20" fillId="10" borderId="9" xfId="0" applyNumberFormat="1" applyFont="1" applyFill="1" applyBorder="1" applyAlignment="1" applyProtection="1">
      <alignment horizontal="right"/>
      <protection locked="0" hidden="1"/>
    </xf>
    <xf numFmtId="167" fontId="20" fillId="10" borderId="11" xfId="0" applyNumberFormat="1" applyFont="1" applyFill="1" applyBorder="1" applyAlignment="1" applyProtection="1">
      <alignment horizontal="right"/>
      <protection locked="0" hidden="1"/>
    </xf>
    <xf numFmtId="0" fontId="30" fillId="0" borderId="0" xfId="0" applyFont="1" applyBorder="1" applyAlignment="1">
      <alignment horizontal="left" vertical="center"/>
    </xf>
    <xf numFmtId="164" fontId="20" fillId="6" borderId="6" xfId="0" applyNumberFormat="1" applyFont="1" applyFill="1" applyBorder="1" applyAlignment="1" applyProtection="1">
      <alignment horizontal="right" vertical="center"/>
      <protection locked="0"/>
    </xf>
    <xf numFmtId="164" fontId="20" fillId="6" borderId="4" xfId="0" applyNumberFormat="1" applyFont="1" applyFill="1" applyBorder="1" applyAlignment="1" applyProtection="1">
      <alignment horizontal="right" vertical="center"/>
      <protection locked="0"/>
    </xf>
    <xf numFmtId="164" fontId="20" fillId="6" borderId="5" xfId="0" applyNumberFormat="1" applyFont="1" applyFill="1" applyBorder="1" applyAlignment="1" applyProtection="1">
      <alignment horizontal="right" vertical="center"/>
      <protection locked="0"/>
    </xf>
    <xf numFmtId="164" fontId="20" fillId="6" borderId="27" xfId="0" applyNumberFormat="1" applyFont="1" applyFill="1" applyBorder="1" applyProtection="1">
      <protection locked="0"/>
    </xf>
    <xf numFmtId="164" fontId="20" fillId="6" borderId="11" xfId="0" applyNumberFormat="1" applyFont="1" applyFill="1" applyBorder="1" applyProtection="1">
      <protection locked="0"/>
    </xf>
    <xf numFmtId="0" fontId="1" fillId="8" borderId="17" xfId="0" applyFont="1" applyFill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right" vertical="center"/>
    </xf>
    <xf numFmtId="164" fontId="1" fillId="4" borderId="4" xfId="0" applyNumberFormat="1" applyFont="1" applyFill="1" applyBorder="1" applyAlignment="1">
      <alignment horizontal="right" vertical="center"/>
    </xf>
    <xf numFmtId="164" fontId="1" fillId="4" borderId="5" xfId="0" applyNumberFormat="1" applyFont="1" applyFill="1" applyBorder="1" applyAlignment="1">
      <alignment horizontal="right" vertical="center"/>
    </xf>
    <xf numFmtId="164" fontId="1" fillId="12" borderId="7" xfId="0" applyNumberFormat="1" applyFont="1" applyFill="1" applyBorder="1" applyAlignment="1">
      <alignment horizontal="right" vertical="center"/>
    </xf>
    <xf numFmtId="167" fontId="20" fillId="14" borderId="4" xfId="0" applyNumberFormat="1" applyFont="1" applyFill="1" applyBorder="1" applyAlignment="1">
      <alignment horizontal="right" vertical="center"/>
    </xf>
    <xf numFmtId="0" fontId="1" fillId="0" borderId="43" xfId="0" applyFont="1" applyFill="1" applyBorder="1" applyAlignment="1">
      <alignment horizontal="left" vertical="center" wrapText="1" indent="2"/>
    </xf>
    <xf numFmtId="0" fontId="1" fillId="8" borderId="52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/>
    </xf>
    <xf numFmtId="167" fontId="20" fillId="10" borderId="19" xfId="0" applyNumberFormat="1" applyFont="1" applyFill="1" applyBorder="1" applyAlignment="1" applyProtection="1">
      <alignment horizontal="right"/>
      <protection locked="0"/>
    </xf>
    <xf numFmtId="167" fontId="20" fillId="10" borderId="9" xfId="0" applyNumberFormat="1" applyFont="1" applyFill="1" applyBorder="1" applyAlignment="1" applyProtection="1">
      <alignment horizontal="right"/>
      <protection locked="0"/>
    </xf>
    <xf numFmtId="167" fontId="20" fillId="10" borderId="11" xfId="0" applyNumberFormat="1" applyFont="1" applyFill="1" applyBorder="1" applyAlignment="1" applyProtection="1">
      <alignment horizontal="right"/>
      <protection locked="0"/>
    </xf>
    <xf numFmtId="0" fontId="20" fillId="0" borderId="44" xfId="0" applyFont="1" applyBorder="1" applyAlignment="1">
      <alignment horizontal="center"/>
    </xf>
    <xf numFmtId="9" fontId="4" fillId="0" borderId="7" xfId="0" applyNumberFormat="1" applyFont="1" applyBorder="1" applyAlignment="1">
      <alignment horizontal="right" vertical="center"/>
    </xf>
    <xf numFmtId="167" fontId="20" fillId="10" borderId="4" xfId="0" applyNumberFormat="1" applyFont="1" applyFill="1" applyBorder="1" applyAlignment="1" applyProtection="1">
      <alignment horizontal="center"/>
    </xf>
    <xf numFmtId="167" fontId="20" fillId="10" borderId="4" xfId="0" applyNumberFormat="1" applyFont="1" applyFill="1" applyBorder="1" applyAlignment="1" applyProtection="1">
      <alignment horizontal="right"/>
    </xf>
    <xf numFmtId="168" fontId="11" fillId="8" borderId="4" xfId="0" applyNumberFormat="1" applyFont="1" applyFill="1" applyBorder="1" applyAlignment="1">
      <alignment horizontal="center"/>
    </xf>
    <xf numFmtId="14" fontId="0" fillId="0" borderId="0" xfId="0" applyNumberFormat="1"/>
    <xf numFmtId="166" fontId="3" fillId="0" borderId="8" xfId="0" applyNumberFormat="1" applyFont="1" applyBorder="1" applyAlignment="1" applyProtection="1">
      <alignment horizontal="center" vertical="center" wrapText="1"/>
      <protection hidden="1"/>
    </xf>
    <xf numFmtId="166" fontId="3" fillId="0" borderId="9" xfId="0" applyNumberFormat="1" applyFont="1" applyBorder="1" applyAlignment="1" applyProtection="1">
      <alignment horizontal="center" vertical="center" wrapText="1"/>
      <protection hidden="1"/>
    </xf>
    <xf numFmtId="166" fontId="3" fillId="0" borderId="10" xfId="0" applyNumberFormat="1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164" fontId="2" fillId="0" borderId="16" xfId="0" applyNumberFormat="1" applyFont="1" applyBorder="1" applyAlignment="1" applyProtection="1">
      <alignment horizont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164" fontId="2" fillId="0" borderId="47" xfId="0" applyNumberFormat="1" applyFont="1" applyBorder="1" applyAlignment="1" applyProtection="1">
      <alignment horizont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4" fillId="0" borderId="0" xfId="5"/>
    <xf numFmtId="0" fontId="34" fillId="0" borderId="0" xfId="5" applyNumberFormat="1" applyFont="1" applyBorder="1" applyAlignment="1">
      <alignment horizontal="left" wrapText="1"/>
    </xf>
    <xf numFmtId="0" fontId="27" fillId="0" borderId="55" xfId="5" applyNumberFormat="1" applyFont="1" applyBorder="1" applyAlignment="1" applyProtection="1">
      <alignment horizontal="center" vertical="center" wrapText="1"/>
      <protection hidden="1"/>
    </xf>
    <xf numFmtId="0" fontId="27" fillId="0" borderId="63" xfId="5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28" fillId="5" borderId="32" xfId="5" applyNumberFormat="1" applyFont="1" applyFill="1" applyBorder="1" applyAlignment="1">
      <alignment horizontal="left" vertical="center"/>
    </xf>
    <xf numFmtId="164" fontId="28" fillId="5" borderId="25" xfId="5" applyNumberFormat="1" applyFont="1" applyFill="1" applyBorder="1" applyAlignment="1">
      <alignment horizontal="left" vertical="center"/>
    </xf>
    <xf numFmtId="0" fontId="35" fillId="0" borderId="0" xfId="0" applyFont="1" applyProtection="1">
      <protection hidden="1"/>
    </xf>
    <xf numFmtId="164" fontId="28" fillId="11" borderId="4" xfId="5" applyNumberFormat="1" applyFont="1" applyFill="1" applyBorder="1" applyAlignment="1">
      <alignment horizontal="left" vertical="center"/>
    </xf>
    <xf numFmtId="49" fontId="28" fillId="11" borderId="17" xfId="5" applyNumberFormat="1" applyFont="1" applyFill="1" applyBorder="1" applyAlignment="1" applyProtection="1">
      <alignment horizontal="left" vertical="center" wrapText="1"/>
      <protection locked="0"/>
    </xf>
    <xf numFmtId="164" fontId="28" fillId="5" borderId="18" xfId="5" applyNumberFormat="1" applyFont="1" applyFill="1" applyBorder="1" applyAlignment="1">
      <alignment horizontal="left" vertical="center"/>
    </xf>
    <xf numFmtId="164" fontId="28" fillId="5" borderId="4" xfId="5" applyNumberFormat="1" applyFont="1" applyFill="1" applyBorder="1" applyAlignment="1">
      <alignment horizontal="left" vertical="center"/>
    </xf>
    <xf numFmtId="164" fontId="28" fillId="5" borderId="19" xfId="5" applyNumberFormat="1" applyFont="1" applyFill="1" applyBorder="1" applyAlignment="1">
      <alignment horizontal="left" vertical="center"/>
    </xf>
    <xf numFmtId="164" fontId="28" fillId="5" borderId="9" xfId="5" applyNumberFormat="1" applyFont="1" applyFill="1" applyBorder="1" applyAlignment="1">
      <alignment horizontal="left" vertical="center"/>
    </xf>
    <xf numFmtId="49" fontId="28" fillId="5" borderId="11" xfId="5" applyNumberFormat="1" applyFont="1" applyFill="1" applyBorder="1" applyAlignment="1" applyProtection="1">
      <alignment horizontal="left" vertical="center" wrapText="1"/>
      <protection locked="0"/>
    </xf>
    <xf numFmtId="164" fontId="28" fillId="0" borderId="18" xfId="5" applyNumberFormat="1" applyFont="1" applyFill="1" applyBorder="1" applyAlignment="1">
      <alignment horizontal="left" vertical="center"/>
    </xf>
    <xf numFmtId="164" fontId="28" fillId="0" borderId="4" xfId="5" applyNumberFormat="1" applyFont="1" applyFill="1" applyBorder="1" applyAlignment="1">
      <alignment horizontal="left" vertical="center"/>
    </xf>
    <xf numFmtId="49" fontId="28" fillId="0" borderId="17" xfId="5" applyNumberFormat="1" applyFont="1" applyFill="1" applyBorder="1" applyAlignment="1" applyProtection="1">
      <alignment horizontal="left" vertical="center" wrapText="1"/>
      <protection locked="0"/>
    </xf>
    <xf numFmtId="164" fontId="28" fillId="11" borderId="18" xfId="5" applyNumberFormat="1" applyFont="1" applyFill="1" applyBorder="1" applyAlignment="1">
      <alignment horizontal="left" vertical="center"/>
    </xf>
    <xf numFmtId="164" fontId="28" fillId="5" borderId="27" xfId="5" applyNumberFormat="1" applyFont="1" applyFill="1" applyBorder="1" applyAlignment="1" applyProtection="1">
      <alignment horizontal="left" vertical="center"/>
      <protection locked="0"/>
    </xf>
    <xf numFmtId="164" fontId="28" fillId="5" borderId="17" xfId="5" applyNumberFormat="1" applyFont="1" applyFill="1" applyBorder="1" applyAlignment="1" applyProtection="1">
      <alignment horizontal="left" vertical="center"/>
      <protection locked="0"/>
    </xf>
    <xf numFmtId="164" fontId="28" fillId="11" borderId="17" xfId="5" applyNumberFormat="1" applyFont="1" applyFill="1" applyBorder="1" applyAlignment="1" applyProtection="1">
      <alignment horizontal="left" vertical="center"/>
      <protection locked="0"/>
    </xf>
    <xf numFmtId="164" fontId="1" fillId="15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20" xfId="0" applyFont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164" fontId="2" fillId="0" borderId="32" xfId="0" applyNumberFormat="1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164" fontId="2" fillId="0" borderId="24" xfId="0" applyNumberFormat="1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5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55" xfId="0" applyNumberFormat="1" applyFont="1" applyBorder="1" applyAlignment="1" applyProtection="1">
      <alignment horizontal="center" vertical="center"/>
      <protection hidden="1"/>
    </xf>
    <xf numFmtId="164" fontId="2" fillId="0" borderId="34" xfId="0" applyNumberFormat="1" applyFont="1" applyBorder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center" vertical="center"/>
      <protection hidden="1"/>
    </xf>
    <xf numFmtId="0" fontId="2" fillId="9" borderId="54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8" borderId="32" xfId="0" applyFont="1" applyFill="1" applyBorder="1" applyAlignment="1" applyProtection="1">
      <alignment horizontal="center" vertical="center"/>
      <protection hidden="1"/>
    </xf>
    <xf numFmtId="0" fontId="2" fillId="8" borderId="25" xfId="0" applyFont="1" applyFill="1" applyBorder="1" applyAlignment="1" applyProtection="1">
      <alignment horizontal="center" vertical="center"/>
      <protection hidden="1"/>
    </xf>
    <xf numFmtId="0" fontId="2" fillId="8" borderId="27" xfId="0" applyFont="1" applyFill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5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1" fillId="0" borderId="20" xfId="0" applyFont="1" applyBorder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alignment horizontal="center" vertical="center"/>
      <protection hidden="1"/>
    </xf>
    <xf numFmtId="0" fontId="12" fillId="0" borderId="55" xfId="0" applyNumberFormat="1" applyFont="1" applyBorder="1" applyAlignment="1" applyProtection="1">
      <alignment horizontal="center" vertical="center" wrapText="1"/>
      <protection hidden="1"/>
    </xf>
    <xf numFmtId="0" fontId="12" fillId="0" borderId="34" xfId="0" applyNumberFormat="1" applyFont="1" applyBorder="1" applyAlignment="1" applyProtection="1">
      <alignment horizontal="center" vertical="center" wrapText="1"/>
      <protection hidden="1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2" fillId="0" borderId="24" xfId="0" applyNumberFormat="1" applyFont="1" applyBorder="1" applyAlignment="1" applyProtection="1">
      <alignment horizontal="center" vertical="center" wrapText="1"/>
      <protection hidden="1"/>
    </xf>
    <xf numFmtId="0" fontId="12" fillId="0" borderId="25" xfId="0" applyNumberFormat="1" applyFont="1" applyBorder="1" applyAlignment="1" applyProtection="1">
      <alignment horizontal="center" vertical="center" wrapText="1"/>
      <protection hidden="1"/>
    </xf>
    <xf numFmtId="0" fontId="12" fillId="0" borderId="26" xfId="0" applyNumberFormat="1" applyFont="1" applyBorder="1" applyAlignment="1" applyProtection="1">
      <alignment horizontal="center" vertical="center" wrapText="1"/>
      <protection hidden="1"/>
    </xf>
    <xf numFmtId="0" fontId="33" fillId="0" borderId="0" xfId="5" applyNumberFormat="1" applyFont="1" applyAlignment="1">
      <alignment horizontal="center"/>
    </xf>
  </cellXfs>
  <cellStyles count="6">
    <cellStyle name="Обычный" xfId="0" builtinId="0"/>
    <cellStyle name="Обычный 2" xfId="1"/>
    <cellStyle name="Обычный_4. Комментарии" xfId="5"/>
    <cellStyle name="Пояснение" xfId="2" builtinId="53" customBuiltin="1"/>
    <cellStyle name="Процентный" xfId="4" builtinId="5"/>
    <cellStyle name="Финансовый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5C"/>
      <rgbColor rgb="00808000"/>
      <rgbColor rgb="00800080"/>
      <rgbColor rgb="00008080"/>
      <rgbColor rgb="00BFBFC0"/>
      <rgbColor rgb="00808080"/>
      <rgbColor rgb="008EB4E3"/>
      <rgbColor rgb="00993366"/>
      <rgbColor rgb="00EBF1DE"/>
      <rgbColor rgb="00DCE6F2"/>
      <rgbColor rgb="00660066"/>
      <rgbColor rgb="00FF8080"/>
      <rgbColor rgb="000066CC"/>
      <rgbColor rgb="00B9CDE5"/>
      <rgbColor rgb="00000080"/>
      <rgbColor rgb="00FF00FF"/>
      <rgbColor rgb="00D9D416"/>
      <rgbColor rgb="0000FFFF"/>
      <rgbColor rgb="00800080"/>
      <rgbColor rgb="00800000"/>
      <rgbColor rgb="00008080"/>
      <rgbColor rgb="000000FF"/>
      <rgbColor rgb="0000B0F0"/>
      <rgbColor rgb="00DFDFE0"/>
      <rgbColor rgb="00CBE4E5"/>
      <rgbColor rgb="00F2DCDB"/>
      <rgbColor rgb="0093CDDD"/>
      <rgbColor rgb="00B7DEE8"/>
      <rgbColor rgb="00ACC8BD"/>
      <rgbColor rgb="00FCD5B5"/>
      <rgbColor rgb="003366FF"/>
      <rgbColor rgb="0033CCCC"/>
      <rgbColor rgb="0092D050"/>
      <rgbColor rgb="00FFC000"/>
      <rgbColor rgb="00FF9900"/>
      <rgbColor rgb="00E46C0A"/>
      <rgbColor rgb="00666699"/>
      <rgbColor rgb="00A0A0A0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889000</xdr:colOff>
      <xdr:row>5</xdr:row>
      <xdr:rowOff>0</xdr:rowOff>
    </xdr:to>
    <xdr:sp macro="" textlink="">
      <xdr:nvSpPr>
        <xdr:cNvPr id="1980" name="shapetype_202" hidden="1">
          <a:extLst>
            <a:ext uri="{FF2B5EF4-FFF2-40B4-BE49-F238E27FC236}">
              <a16:creationId xmlns:a16="http://schemas.microsoft.com/office/drawing/2014/main" xmlns="" id="{159E09CD-B1B2-4DBE-8527-91A8C6D7EAF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8978900" cy="2393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433"/>
  <sheetViews>
    <sheetView showGridLines="0" tabSelected="1" topLeftCell="A16" zoomScaleNormal="100" workbookViewId="0">
      <pane xSplit="2" topLeftCell="C1" activePane="topRight" state="frozen"/>
      <selection pane="topRight" activeCell="B2" sqref="B2"/>
    </sheetView>
  </sheetViews>
  <sheetFormatPr defaultColWidth="8.5703125" defaultRowHeight="15" x14ac:dyDescent="0.25"/>
  <cols>
    <col min="1" max="1" width="46.85546875" style="101" customWidth="1"/>
    <col min="2" max="2" width="16.140625" style="102" customWidth="1"/>
    <col min="3" max="37" width="13.140625" style="101" customWidth="1"/>
    <col min="38" max="39" width="10.85546875" style="101" customWidth="1"/>
    <col min="40" max="40" width="11.140625" style="101" customWidth="1"/>
    <col min="41" max="41" width="10.85546875" style="101" customWidth="1"/>
    <col min="42" max="42" width="10.42578125" style="101" customWidth="1"/>
    <col min="43" max="43" width="8.85546875" style="101" customWidth="1"/>
    <col min="44" max="44" width="10.140625" style="101" customWidth="1"/>
    <col min="45" max="45" width="8.5703125" style="101" customWidth="1"/>
    <col min="46" max="46" width="8.85546875" style="101" customWidth="1"/>
    <col min="47" max="49" width="8.5703125" style="101" customWidth="1"/>
    <col min="50" max="52" width="8.85546875" style="101" customWidth="1"/>
    <col min="53" max="16384" width="8.5703125" style="101"/>
  </cols>
  <sheetData>
    <row r="1" spans="1:52" x14ac:dyDescent="0.25">
      <c r="A1" s="98"/>
      <c r="B1" s="20" t="s">
        <v>10</v>
      </c>
      <c r="C1" s="18"/>
      <c r="D1" s="18"/>
      <c r="E1" s="18"/>
      <c r="F1" s="18"/>
      <c r="G1" s="99"/>
      <c r="H1" s="99"/>
      <c r="I1" s="3"/>
      <c r="J1" s="3"/>
      <c r="K1" s="100"/>
    </row>
    <row r="2" spans="1:52" ht="30" x14ac:dyDescent="0.25">
      <c r="A2" s="21" t="s">
        <v>11</v>
      </c>
      <c r="B2" s="85"/>
      <c r="C2" s="19"/>
      <c r="D2" s="3"/>
      <c r="E2" s="3"/>
      <c r="F2" s="3"/>
    </row>
    <row r="3" spans="1:52" ht="30" x14ac:dyDescent="0.25">
      <c r="A3" s="21" t="s">
        <v>12</v>
      </c>
      <c r="B3" s="86"/>
      <c r="C3" s="19"/>
      <c r="D3" s="19"/>
      <c r="E3" s="19"/>
      <c r="F3" s="19"/>
      <c r="G3" s="3"/>
      <c r="H3" s="3"/>
      <c r="I3" s="3"/>
    </row>
    <row r="4" spans="1:52" ht="30" x14ac:dyDescent="0.25">
      <c r="A4" s="21" t="s">
        <v>14</v>
      </c>
      <c r="B4" s="321"/>
      <c r="C4" s="19"/>
      <c r="D4" s="19"/>
      <c r="E4" s="19"/>
      <c r="F4" s="19"/>
      <c r="G4" s="3"/>
      <c r="H4" s="3"/>
      <c r="I4" s="3"/>
    </row>
    <row r="5" spans="1:52" x14ac:dyDescent="0.25">
      <c r="A5" s="35"/>
      <c r="B5" s="87"/>
      <c r="C5" s="19"/>
      <c r="D5" s="19"/>
      <c r="E5" s="19"/>
      <c r="F5" s="19"/>
      <c r="G5" s="3"/>
      <c r="H5" s="3"/>
      <c r="I5" s="3"/>
    </row>
    <row r="6" spans="1:52" x14ac:dyDescent="0.25">
      <c r="A6" s="95" t="s">
        <v>108</v>
      </c>
      <c r="B6" s="16"/>
      <c r="C6" s="3"/>
      <c r="D6" s="3"/>
      <c r="E6" s="3"/>
      <c r="F6" s="3"/>
      <c r="G6" s="3"/>
      <c r="H6" s="3"/>
      <c r="I6" s="3"/>
    </row>
    <row r="7" spans="1:52" x14ac:dyDescent="0.25">
      <c r="A7" s="96" t="s">
        <v>119</v>
      </c>
      <c r="B7" s="16"/>
      <c r="C7" s="3"/>
      <c r="D7" s="3"/>
      <c r="E7" s="3"/>
      <c r="F7" s="3"/>
      <c r="G7" s="3"/>
      <c r="H7" s="3"/>
      <c r="I7" s="3"/>
    </row>
    <row r="8" spans="1:52" ht="15.75" thickBot="1" x14ac:dyDescent="0.3">
      <c r="A8" s="96" t="s">
        <v>120</v>
      </c>
      <c r="B8" s="16"/>
      <c r="C8" s="3"/>
      <c r="D8" s="3"/>
      <c r="E8" s="3"/>
      <c r="F8" s="3"/>
      <c r="G8" s="3"/>
      <c r="H8" s="3"/>
      <c r="I8" s="3"/>
    </row>
    <row r="9" spans="1:52" ht="15.75" thickBot="1" x14ac:dyDescent="0.3">
      <c r="A9" s="44" t="s">
        <v>13</v>
      </c>
      <c r="B9" s="48" t="s">
        <v>34</v>
      </c>
      <c r="C9" s="332" t="str">
        <f>YEAR(Date)&amp;" год"</f>
        <v>2019 год</v>
      </c>
      <c r="D9" s="333" t="s">
        <v>0</v>
      </c>
      <c r="E9" s="334" t="s">
        <v>1</v>
      </c>
      <c r="F9" s="334" t="s">
        <v>2</v>
      </c>
      <c r="G9" s="335" t="s">
        <v>3</v>
      </c>
      <c r="H9" s="336" t="str">
        <f>(LEFT(C9,4)+1)&amp;" год"</f>
        <v>2020 год</v>
      </c>
      <c r="I9" s="333" t="s">
        <v>0</v>
      </c>
      <c r="J9" s="334" t="s">
        <v>1</v>
      </c>
      <c r="K9" s="334" t="s">
        <v>2</v>
      </c>
      <c r="L9" s="335" t="s">
        <v>3</v>
      </c>
      <c r="M9" s="336" t="str">
        <f>(LEFT(H9,4)+1)&amp;" год"</f>
        <v>2021 год</v>
      </c>
      <c r="N9" s="333" t="s">
        <v>0</v>
      </c>
      <c r="O9" s="334" t="s">
        <v>1</v>
      </c>
      <c r="P9" s="335" t="s">
        <v>2</v>
      </c>
      <c r="Q9" s="337" t="s">
        <v>3</v>
      </c>
    </row>
    <row r="10" spans="1:52" ht="15.75" thickBot="1" x14ac:dyDescent="0.3">
      <c r="A10" s="64" t="s">
        <v>114</v>
      </c>
      <c r="B10" s="47"/>
      <c r="C10" s="47"/>
      <c r="D10" s="42"/>
      <c r="E10" s="42"/>
      <c r="F10" s="42"/>
      <c r="G10" s="42"/>
      <c r="H10" s="41"/>
      <c r="I10" s="42"/>
      <c r="J10" s="42"/>
      <c r="K10" s="42"/>
      <c r="L10" s="42"/>
      <c r="M10" s="41"/>
      <c r="N10" s="42"/>
      <c r="O10" s="42"/>
      <c r="P10" s="207"/>
      <c r="Q10" s="208"/>
    </row>
    <row r="11" spans="1:52" x14ac:dyDescent="0.25">
      <c r="A11" s="112" t="s">
        <v>70</v>
      </c>
      <c r="B11" s="81" t="s">
        <v>101</v>
      </c>
      <c r="C11" s="45">
        <f>SUM(D11:G11)</f>
        <v>0</v>
      </c>
      <c r="D11" s="292">
        <v>0</v>
      </c>
      <c r="E11" s="293">
        <v>0</v>
      </c>
      <c r="F11" s="293">
        <v>0</v>
      </c>
      <c r="G11" s="294">
        <v>0</v>
      </c>
      <c r="H11" s="38">
        <f>SUM(I11:L11)</f>
        <v>0</v>
      </c>
      <c r="I11" s="292">
        <v>0</v>
      </c>
      <c r="J11" s="293">
        <v>0</v>
      </c>
      <c r="K11" s="293">
        <v>0</v>
      </c>
      <c r="L11" s="294">
        <v>0</v>
      </c>
      <c r="M11" s="38">
        <f>SUM(N11:Q11)</f>
        <v>0</v>
      </c>
      <c r="N11" s="292">
        <v>0</v>
      </c>
      <c r="O11" s="293">
        <v>0</v>
      </c>
      <c r="P11" s="293">
        <v>0</v>
      </c>
      <c r="Q11" s="305">
        <v>0</v>
      </c>
      <c r="AY11" s="101" t="s">
        <v>59</v>
      </c>
      <c r="AZ11" s="101">
        <v>60</v>
      </c>
    </row>
    <row r="12" spans="1:52" ht="15.75" thickBot="1" x14ac:dyDescent="0.3">
      <c r="A12" s="113" t="s">
        <v>71</v>
      </c>
      <c r="B12" s="82" t="s">
        <v>101</v>
      </c>
      <c r="C12" s="46">
        <f>SUM(D12:G12)</f>
        <v>0</v>
      </c>
      <c r="D12" s="295">
        <v>0</v>
      </c>
      <c r="E12" s="296">
        <v>0</v>
      </c>
      <c r="F12" s="296">
        <v>0</v>
      </c>
      <c r="G12" s="297">
        <v>0</v>
      </c>
      <c r="H12" s="39">
        <f>SUM(I12:L12)</f>
        <v>0</v>
      </c>
      <c r="I12" s="295">
        <v>0</v>
      </c>
      <c r="J12" s="296">
        <v>0</v>
      </c>
      <c r="K12" s="296">
        <v>0</v>
      </c>
      <c r="L12" s="297">
        <v>0</v>
      </c>
      <c r="M12" s="39">
        <f>SUM(N12:Q12)</f>
        <v>0</v>
      </c>
      <c r="N12" s="295">
        <v>0</v>
      </c>
      <c r="O12" s="296">
        <v>0</v>
      </c>
      <c r="P12" s="296">
        <v>0</v>
      </c>
      <c r="Q12" s="306">
        <v>0</v>
      </c>
      <c r="AY12" s="101" t="s">
        <v>59</v>
      </c>
      <c r="AZ12" s="101">
        <v>61</v>
      </c>
    </row>
    <row r="13" spans="1:52" ht="15.75" thickBot="1" x14ac:dyDescent="0.3">
      <c r="A13" s="63" t="s">
        <v>115</v>
      </c>
      <c r="B13" s="47"/>
      <c r="C13" s="47"/>
      <c r="D13" s="110"/>
      <c r="E13" s="110"/>
      <c r="F13" s="110"/>
      <c r="G13" s="110"/>
      <c r="H13" s="41"/>
      <c r="I13" s="110"/>
      <c r="J13" s="110"/>
      <c r="K13" s="110"/>
      <c r="L13" s="110"/>
      <c r="M13" s="41"/>
      <c r="N13" s="110"/>
      <c r="O13" s="110"/>
      <c r="P13" s="110"/>
      <c r="Q13" s="111"/>
    </row>
    <row r="14" spans="1:52" x14ac:dyDescent="0.25">
      <c r="A14" s="112" t="s">
        <v>72</v>
      </c>
      <c r="B14" s="81" t="s">
        <v>101</v>
      </c>
      <c r="C14" s="45">
        <f>SUM(D14:G14)</f>
        <v>0</v>
      </c>
      <c r="D14" s="292">
        <v>0</v>
      </c>
      <c r="E14" s="293">
        <v>0</v>
      </c>
      <c r="F14" s="293">
        <v>0</v>
      </c>
      <c r="G14" s="294">
        <v>0</v>
      </c>
      <c r="H14" s="38">
        <f>SUM(I14:L14)</f>
        <v>0</v>
      </c>
      <c r="I14" s="292">
        <v>0</v>
      </c>
      <c r="J14" s="293">
        <v>0</v>
      </c>
      <c r="K14" s="293">
        <v>0</v>
      </c>
      <c r="L14" s="294">
        <v>0</v>
      </c>
      <c r="M14" s="38">
        <f>SUM(N14:Q14)</f>
        <v>0</v>
      </c>
      <c r="N14" s="292">
        <v>0</v>
      </c>
      <c r="O14" s="293">
        <v>0</v>
      </c>
      <c r="P14" s="293">
        <v>0</v>
      </c>
      <c r="Q14" s="305">
        <v>0</v>
      </c>
      <c r="AY14" s="101" t="s">
        <v>59</v>
      </c>
      <c r="AZ14" s="101">
        <v>59</v>
      </c>
    </row>
    <row r="15" spans="1:52" ht="15.75" thickBot="1" x14ac:dyDescent="0.3">
      <c r="A15" s="114" t="s">
        <v>64</v>
      </c>
      <c r="B15" s="82" t="s">
        <v>101</v>
      </c>
      <c r="C15" s="46">
        <f>SUM(D15:G15)</f>
        <v>0</v>
      </c>
      <c r="D15" s="295">
        <v>0</v>
      </c>
      <c r="E15" s="296">
        <v>0</v>
      </c>
      <c r="F15" s="296">
        <v>0</v>
      </c>
      <c r="G15" s="297">
        <v>0</v>
      </c>
      <c r="H15" s="39">
        <f>SUM(I15:L15)</f>
        <v>0</v>
      </c>
      <c r="I15" s="295">
        <v>0</v>
      </c>
      <c r="J15" s="296">
        <v>0</v>
      </c>
      <c r="K15" s="296">
        <v>0</v>
      </c>
      <c r="L15" s="297">
        <v>0</v>
      </c>
      <c r="M15" s="39">
        <f>SUM(N15:Q15)</f>
        <v>0</v>
      </c>
      <c r="N15" s="295">
        <v>0</v>
      </c>
      <c r="O15" s="296">
        <v>0</v>
      </c>
      <c r="P15" s="296">
        <v>0</v>
      </c>
      <c r="Q15" s="306">
        <v>0</v>
      </c>
      <c r="AY15" s="101" t="s">
        <v>59</v>
      </c>
      <c r="AZ15" s="101">
        <v>71</v>
      </c>
    </row>
    <row r="16" spans="1:52" s="103" customFormat="1" x14ac:dyDescent="0.25">
      <c r="A16" s="22"/>
      <c r="B16" s="23"/>
      <c r="C16" s="24"/>
      <c r="D16" s="25"/>
      <c r="E16" s="25"/>
      <c r="F16" s="25"/>
      <c r="G16" s="25"/>
      <c r="H16" s="24"/>
      <c r="I16" s="25"/>
      <c r="J16" s="25"/>
      <c r="K16" s="25"/>
      <c r="L16" s="25"/>
      <c r="M16" s="24"/>
      <c r="N16" s="25"/>
      <c r="O16" s="25"/>
      <c r="P16" s="25"/>
      <c r="Q16" s="25"/>
      <c r="R16" s="26"/>
      <c r="S16" s="26"/>
      <c r="T16" s="26"/>
      <c r="U16" s="26"/>
      <c r="V16" s="26"/>
      <c r="W16" s="26"/>
      <c r="X16" s="26"/>
      <c r="Y16" s="26"/>
      <c r="Z16" s="26"/>
      <c r="AA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Z16" s="101"/>
    </row>
    <row r="17" spans="1:52" s="103" customFormat="1" x14ac:dyDescent="0.25">
      <c r="A17" s="95" t="s">
        <v>109</v>
      </c>
      <c r="B17" s="23"/>
      <c r="C17" s="24"/>
      <c r="D17" s="25"/>
      <c r="E17" s="25"/>
      <c r="F17" s="25"/>
      <c r="G17" s="25"/>
      <c r="H17" s="24"/>
      <c r="I17" s="25"/>
      <c r="J17" s="25"/>
      <c r="K17" s="25"/>
      <c r="L17" s="25"/>
      <c r="M17" s="24"/>
      <c r="N17" s="25"/>
      <c r="O17" s="25"/>
      <c r="P17" s="25"/>
      <c r="Q17" s="25"/>
      <c r="R17" s="26"/>
      <c r="S17" s="26"/>
      <c r="T17" s="26"/>
      <c r="U17" s="26"/>
      <c r="V17" s="26"/>
      <c r="W17" s="26"/>
      <c r="X17" s="26"/>
      <c r="Y17" s="26"/>
      <c r="Z17" s="26"/>
      <c r="AA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Z17" s="101"/>
    </row>
    <row r="18" spans="1:52" ht="15.75" thickBot="1" x14ac:dyDescent="0.3">
      <c r="A18" s="96" t="s">
        <v>57</v>
      </c>
      <c r="B18" s="1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52" s="102" customFormat="1" ht="14.45" customHeight="1" x14ac:dyDescent="0.25">
      <c r="A19" s="369" t="s">
        <v>15</v>
      </c>
      <c r="B19" s="371" t="s">
        <v>34</v>
      </c>
      <c r="C19" s="373" t="str">
        <f>(YEAR(Date)-3)&amp;" год"</f>
        <v>2016 год</v>
      </c>
      <c r="D19" s="367" t="str">
        <f>C19</f>
        <v>2016 год</v>
      </c>
      <c r="E19" s="365"/>
      <c r="F19" s="365"/>
      <c r="G19" s="368"/>
      <c r="H19" s="362" t="str">
        <f>(LEFT(C19,4)+1)&amp;" год"</f>
        <v>2017 год</v>
      </c>
      <c r="I19" s="367" t="str">
        <f>H19</f>
        <v>2017 год</v>
      </c>
      <c r="J19" s="365"/>
      <c r="K19" s="365"/>
      <c r="L19" s="368"/>
      <c r="M19" s="362" t="str">
        <f>(LEFT(H19,4)+1)&amp;" год"</f>
        <v>2018 год</v>
      </c>
      <c r="N19" s="364" t="str">
        <f>M19</f>
        <v>2018 год</v>
      </c>
      <c r="O19" s="365"/>
      <c r="P19" s="365"/>
      <c r="Q19" s="366"/>
    </row>
    <row r="20" spans="1:52" s="102" customFormat="1" ht="15.75" thickBot="1" x14ac:dyDescent="0.3">
      <c r="A20" s="370"/>
      <c r="B20" s="372"/>
      <c r="C20" s="374"/>
      <c r="D20" s="328" t="s">
        <v>0</v>
      </c>
      <c r="E20" s="329" t="s">
        <v>1</v>
      </c>
      <c r="F20" s="329" t="s">
        <v>2</v>
      </c>
      <c r="G20" s="330" t="s">
        <v>3</v>
      </c>
      <c r="H20" s="363"/>
      <c r="I20" s="328" t="s">
        <v>0</v>
      </c>
      <c r="J20" s="329" t="s">
        <v>1</v>
      </c>
      <c r="K20" s="329" t="s">
        <v>2</v>
      </c>
      <c r="L20" s="330" t="s">
        <v>3</v>
      </c>
      <c r="M20" s="363"/>
      <c r="N20" s="338" t="s">
        <v>0</v>
      </c>
      <c r="O20" s="329" t="s">
        <v>1</v>
      </c>
      <c r="P20" s="329" t="s">
        <v>2</v>
      </c>
      <c r="Q20" s="331" t="s">
        <v>3</v>
      </c>
    </row>
    <row r="21" spans="1:52" x14ac:dyDescent="0.25">
      <c r="A21" s="216" t="s">
        <v>4</v>
      </c>
      <c r="B21" s="253" t="s">
        <v>101</v>
      </c>
      <c r="C21" s="186">
        <f>D21</f>
        <v>3.6</v>
      </c>
      <c r="D21" s="187">
        <v>3.6</v>
      </c>
      <c r="E21" s="188">
        <f>D31</f>
        <v>3.6</v>
      </c>
      <c r="F21" s="188">
        <f>E31</f>
        <v>3.6</v>
      </c>
      <c r="G21" s="189">
        <f>F31</f>
        <v>3.6</v>
      </c>
      <c r="H21" s="186">
        <f>I21</f>
        <v>3.6</v>
      </c>
      <c r="I21" s="291">
        <f>G31</f>
        <v>3.6</v>
      </c>
      <c r="J21" s="190">
        <f>I31</f>
        <v>3.6</v>
      </c>
      <c r="K21" s="190">
        <f>J31</f>
        <v>3.6</v>
      </c>
      <c r="L21" s="191">
        <f>K31</f>
        <v>3.6</v>
      </c>
      <c r="M21" s="186">
        <f>N21</f>
        <v>3.6</v>
      </c>
      <c r="N21" s="192">
        <f>L31</f>
        <v>3.6</v>
      </c>
      <c r="O21" s="193">
        <f>N31</f>
        <v>3.6</v>
      </c>
      <c r="P21" s="193">
        <f>O31</f>
        <v>3.6</v>
      </c>
      <c r="Q21" s="194">
        <f>P31</f>
        <v>3.6</v>
      </c>
      <c r="R21" s="3"/>
      <c r="S21" s="3"/>
      <c r="T21" s="3"/>
      <c r="U21" s="3"/>
      <c r="V21" s="3"/>
      <c r="W21" s="3"/>
    </row>
    <row r="22" spans="1:52" x14ac:dyDescent="0.25">
      <c r="A22" s="217" t="s">
        <v>105</v>
      </c>
      <c r="B22" s="144" t="s">
        <v>101</v>
      </c>
      <c r="C22" s="37">
        <f>SUM(D22:G22)</f>
        <v>0</v>
      </c>
      <c r="D22" s="75">
        <v>0</v>
      </c>
      <c r="E22" s="74">
        <v>0</v>
      </c>
      <c r="F22" s="74">
        <v>0</v>
      </c>
      <c r="G22" s="76">
        <v>0</v>
      </c>
      <c r="H22" s="37">
        <f>SUM(I22:L22)</f>
        <v>0</v>
      </c>
      <c r="I22" s="75">
        <v>0</v>
      </c>
      <c r="J22" s="74">
        <v>0</v>
      </c>
      <c r="K22" s="74">
        <v>0</v>
      </c>
      <c r="L22" s="76">
        <v>0</v>
      </c>
      <c r="M22" s="37">
        <f>SUM(N22:Q22)</f>
        <v>0</v>
      </c>
      <c r="N22" s="75">
        <v>0</v>
      </c>
      <c r="O22" s="74">
        <v>0</v>
      </c>
      <c r="P22" s="74">
        <v>0</v>
      </c>
      <c r="Q22" s="76">
        <v>0</v>
      </c>
    </row>
    <row r="23" spans="1:52" x14ac:dyDescent="0.25">
      <c r="A23" s="217" t="s">
        <v>118</v>
      </c>
      <c r="B23" s="144" t="s">
        <v>101</v>
      </c>
      <c r="C23" s="37">
        <f>SUM(D23:G23)</f>
        <v>0</v>
      </c>
      <c r="D23" s="75">
        <v>0</v>
      </c>
      <c r="E23" s="74">
        <v>0</v>
      </c>
      <c r="F23" s="74">
        <v>0</v>
      </c>
      <c r="G23" s="76">
        <v>0</v>
      </c>
      <c r="H23" s="37">
        <f>SUM(I23:L23)</f>
        <v>0</v>
      </c>
      <c r="I23" s="75">
        <v>0</v>
      </c>
      <c r="J23" s="74">
        <v>0</v>
      </c>
      <c r="K23" s="74">
        <v>0</v>
      </c>
      <c r="L23" s="76">
        <v>0</v>
      </c>
      <c r="M23" s="37">
        <f>SUM(N23:Q23)</f>
        <v>0</v>
      </c>
      <c r="N23" s="75">
        <v>0</v>
      </c>
      <c r="O23" s="74">
        <v>0</v>
      </c>
      <c r="P23" s="74">
        <v>0</v>
      </c>
      <c r="Q23" s="76">
        <v>0</v>
      </c>
    </row>
    <row r="24" spans="1:52" x14ac:dyDescent="0.25">
      <c r="A24" s="217" t="s">
        <v>106</v>
      </c>
      <c r="B24" s="144" t="s">
        <v>101</v>
      </c>
      <c r="C24" s="37">
        <f>SUM(D24:G24)</f>
        <v>45.680999999999997</v>
      </c>
      <c r="D24" s="75">
        <v>12.16</v>
      </c>
      <c r="E24" s="74">
        <v>10.927</v>
      </c>
      <c r="F24" s="74">
        <v>11.42</v>
      </c>
      <c r="G24" s="76">
        <v>11.173999999999999</v>
      </c>
      <c r="H24" s="37">
        <f>SUM(I24:L24)</f>
        <v>46.199000000000005</v>
      </c>
      <c r="I24" s="75">
        <v>12.368</v>
      </c>
      <c r="J24" s="74">
        <v>11.003</v>
      </c>
      <c r="K24" s="74">
        <v>11.55</v>
      </c>
      <c r="L24" s="76">
        <v>11.278</v>
      </c>
      <c r="M24" s="37">
        <f>SUM(N24:Q24)</f>
        <v>46.199000000000005</v>
      </c>
      <c r="N24" s="75">
        <v>12.368</v>
      </c>
      <c r="O24" s="74">
        <v>11.003</v>
      </c>
      <c r="P24" s="74">
        <v>11.55</v>
      </c>
      <c r="Q24" s="76">
        <v>11.278</v>
      </c>
    </row>
    <row r="25" spans="1:52" x14ac:dyDescent="0.25">
      <c r="A25" s="217" t="s">
        <v>107</v>
      </c>
      <c r="B25" s="144" t="s">
        <v>101</v>
      </c>
      <c r="C25" s="37">
        <f t="shared" ref="C25:Q25" si="0">C21+C22+C23+C24</f>
        <v>49.280999999999999</v>
      </c>
      <c r="D25" s="183">
        <f t="shared" si="0"/>
        <v>15.76</v>
      </c>
      <c r="E25" s="184">
        <f t="shared" si="0"/>
        <v>14.526999999999999</v>
      </c>
      <c r="F25" s="184">
        <f t="shared" si="0"/>
        <v>15.02</v>
      </c>
      <c r="G25" s="185">
        <f t="shared" si="0"/>
        <v>14.773999999999999</v>
      </c>
      <c r="H25" s="37">
        <f t="shared" si="0"/>
        <v>49.799000000000007</v>
      </c>
      <c r="I25" s="183">
        <f t="shared" si="0"/>
        <v>15.968</v>
      </c>
      <c r="J25" s="184">
        <f t="shared" si="0"/>
        <v>14.603</v>
      </c>
      <c r="K25" s="184">
        <f t="shared" si="0"/>
        <v>15.15</v>
      </c>
      <c r="L25" s="185">
        <f t="shared" si="0"/>
        <v>14.878</v>
      </c>
      <c r="M25" s="37">
        <f t="shared" si="0"/>
        <v>49.799000000000007</v>
      </c>
      <c r="N25" s="183">
        <f t="shared" si="0"/>
        <v>15.968</v>
      </c>
      <c r="O25" s="184">
        <f t="shared" si="0"/>
        <v>14.603</v>
      </c>
      <c r="P25" s="184">
        <f t="shared" si="0"/>
        <v>15.15</v>
      </c>
      <c r="Q25" s="185">
        <f t="shared" si="0"/>
        <v>14.878</v>
      </c>
    </row>
    <row r="26" spans="1:52" x14ac:dyDescent="0.25">
      <c r="A26" s="217" t="s">
        <v>7</v>
      </c>
      <c r="B26" s="144" t="s">
        <v>101</v>
      </c>
      <c r="C26" s="37">
        <f t="shared" ref="C26:C30" si="1">SUM(D26:G26)</f>
        <v>4.931</v>
      </c>
      <c r="D26" s="75">
        <v>1.972</v>
      </c>
      <c r="E26" s="74">
        <v>0.74</v>
      </c>
      <c r="F26" s="74">
        <v>1.2330000000000001</v>
      </c>
      <c r="G26" s="76">
        <v>0.98599999999999999</v>
      </c>
      <c r="H26" s="40">
        <f t="shared" ref="H26:H30" si="2">SUM(I26:L26)</f>
        <v>5.471000000000001</v>
      </c>
      <c r="I26" s="75">
        <v>2.1880000000000002</v>
      </c>
      <c r="J26" s="74">
        <v>0.82099999999999995</v>
      </c>
      <c r="K26" s="74">
        <v>1.3680000000000001</v>
      </c>
      <c r="L26" s="76">
        <v>1.0940000000000001</v>
      </c>
      <c r="M26" s="37">
        <f t="shared" ref="M26:M30" si="3">SUM(N26:Q26)</f>
        <v>5.471000000000001</v>
      </c>
      <c r="N26" s="75">
        <v>2.1880000000000002</v>
      </c>
      <c r="O26" s="74">
        <v>0.82099999999999995</v>
      </c>
      <c r="P26" s="74">
        <v>1.3680000000000001</v>
      </c>
      <c r="Q26" s="76">
        <v>1.0940000000000001</v>
      </c>
    </row>
    <row r="27" spans="1:52" x14ac:dyDescent="0.25">
      <c r="A27" s="217" t="s">
        <v>64</v>
      </c>
      <c r="B27" s="144" t="s">
        <v>101</v>
      </c>
      <c r="C27" s="37">
        <f t="shared" si="1"/>
        <v>0</v>
      </c>
      <c r="D27" s="75">
        <v>0</v>
      </c>
      <c r="E27" s="74">
        <v>0</v>
      </c>
      <c r="F27" s="74">
        <v>0</v>
      </c>
      <c r="G27" s="76">
        <v>0</v>
      </c>
      <c r="H27" s="37">
        <f t="shared" si="2"/>
        <v>0</v>
      </c>
      <c r="I27" s="75">
        <v>0</v>
      </c>
      <c r="J27" s="74">
        <v>0</v>
      </c>
      <c r="K27" s="74">
        <v>0</v>
      </c>
      <c r="L27" s="76">
        <v>0</v>
      </c>
      <c r="M27" s="37">
        <f t="shared" si="3"/>
        <v>0</v>
      </c>
      <c r="N27" s="75">
        <v>0</v>
      </c>
      <c r="O27" s="74">
        <v>0</v>
      </c>
      <c r="P27" s="74">
        <v>0</v>
      </c>
      <c r="Q27" s="76">
        <v>0</v>
      </c>
    </row>
    <row r="28" spans="1:52" x14ac:dyDescent="0.25">
      <c r="A28" s="217" t="s">
        <v>5</v>
      </c>
      <c r="B28" s="144" t="s">
        <v>101</v>
      </c>
      <c r="C28" s="37">
        <f t="shared" si="1"/>
        <v>0</v>
      </c>
      <c r="D28" s="75">
        <v>0</v>
      </c>
      <c r="E28" s="74">
        <v>0</v>
      </c>
      <c r="F28" s="74">
        <v>0</v>
      </c>
      <c r="G28" s="76">
        <v>0</v>
      </c>
      <c r="H28" s="37">
        <f t="shared" si="2"/>
        <v>0</v>
      </c>
      <c r="I28" s="75">
        <v>0</v>
      </c>
      <c r="J28" s="74">
        <v>0</v>
      </c>
      <c r="K28" s="74">
        <v>0</v>
      </c>
      <c r="L28" s="76">
        <v>0</v>
      </c>
      <c r="M28" s="37">
        <f t="shared" si="3"/>
        <v>0</v>
      </c>
      <c r="N28" s="75">
        <v>0</v>
      </c>
      <c r="O28" s="74">
        <v>0</v>
      </c>
      <c r="P28" s="74">
        <v>0</v>
      </c>
      <c r="Q28" s="76">
        <v>0</v>
      </c>
    </row>
    <row r="29" spans="1:52" x14ac:dyDescent="0.25">
      <c r="A29" s="217" t="s">
        <v>63</v>
      </c>
      <c r="B29" s="144" t="s">
        <v>101</v>
      </c>
      <c r="C29" s="40">
        <f t="shared" si="1"/>
        <v>0</v>
      </c>
      <c r="D29" s="75">
        <v>0</v>
      </c>
      <c r="E29" s="74">
        <v>0</v>
      </c>
      <c r="F29" s="74">
        <v>0</v>
      </c>
      <c r="G29" s="76">
        <v>0</v>
      </c>
      <c r="H29" s="37">
        <f t="shared" si="2"/>
        <v>0</v>
      </c>
      <c r="I29" s="75">
        <v>0</v>
      </c>
      <c r="J29" s="74">
        <v>0</v>
      </c>
      <c r="K29" s="74">
        <v>0</v>
      </c>
      <c r="L29" s="76">
        <v>0</v>
      </c>
      <c r="M29" s="37">
        <f t="shared" si="3"/>
        <v>0</v>
      </c>
      <c r="N29" s="75">
        <v>0</v>
      </c>
      <c r="O29" s="74">
        <v>0</v>
      </c>
      <c r="P29" s="74">
        <v>0</v>
      </c>
      <c r="Q29" s="76">
        <v>0</v>
      </c>
    </row>
    <row r="30" spans="1:52" x14ac:dyDescent="0.25">
      <c r="A30" s="217" t="s">
        <v>6</v>
      </c>
      <c r="B30" s="144" t="s">
        <v>101</v>
      </c>
      <c r="C30" s="37">
        <f t="shared" si="1"/>
        <v>40.75</v>
      </c>
      <c r="D30" s="75">
        <v>10.188000000000001</v>
      </c>
      <c r="E30" s="74">
        <v>10.186999999999999</v>
      </c>
      <c r="F30" s="74">
        <v>10.186999999999999</v>
      </c>
      <c r="G30" s="76">
        <v>10.188000000000001</v>
      </c>
      <c r="H30" s="37">
        <f t="shared" si="2"/>
        <v>40.728000000000002</v>
      </c>
      <c r="I30" s="75">
        <v>10.18</v>
      </c>
      <c r="J30" s="74">
        <v>10.182</v>
      </c>
      <c r="K30" s="74">
        <v>10.182</v>
      </c>
      <c r="L30" s="76">
        <v>10.183999999999999</v>
      </c>
      <c r="M30" s="43">
        <f t="shared" si="3"/>
        <v>40.728000000000002</v>
      </c>
      <c r="N30" s="75">
        <v>10.18</v>
      </c>
      <c r="O30" s="74">
        <v>10.182</v>
      </c>
      <c r="P30" s="74">
        <v>10.182</v>
      </c>
      <c r="Q30" s="76">
        <v>10.183999999999999</v>
      </c>
    </row>
    <row r="31" spans="1:52" ht="15.75" thickBot="1" x14ac:dyDescent="0.3">
      <c r="A31" s="218" t="s">
        <v>8</v>
      </c>
      <c r="B31" s="254" t="s">
        <v>101</v>
      </c>
      <c r="C31" s="39">
        <f>G31</f>
        <v>3.6</v>
      </c>
      <c r="D31" s="316">
        <v>3.6</v>
      </c>
      <c r="E31" s="317">
        <v>3.6</v>
      </c>
      <c r="F31" s="317">
        <v>3.6</v>
      </c>
      <c r="G31" s="318">
        <v>3.6</v>
      </c>
      <c r="H31" s="49">
        <f>L31</f>
        <v>3.6</v>
      </c>
      <c r="I31" s="316">
        <v>3.6</v>
      </c>
      <c r="J31" s="317">
        <v>3.6</v>
      </c>
      <c r="K31" s="317">
        <v>3.6</v>
      </c>
      <c r="L31" s="318">
        <v>3.6</v>
      </c>
      <c r="M31" s="39">
        <f>Q31</f>
        <v>3.6</v>
      </c>
      <c r="N31" s="316">
        <v>3.6</v>
      </c>
      <c r="O31" s="317">
        <v>3.6</v>
      </c>
      <c r="P31" s="317">
        <v>3.6</v>
      </c>
      <c r="Q31" s="318">
        <v>3.6</v>
      </c>
      <c r="R31" s="3"/>
      <c r="S31" s="3"/>
      <c r="T31" s="3"/>
      <c r="U31" s="3"/>
      <c r="V31" s="3"/>
      <c r="W31" s="3"/>
      <c r="Y31" s="3"/>
      <c r="Z31" s="3"/>
      <c r="AA31" s="3"/>
      <c r="AB31" s="3"/>
      <c r="AD31" s="3"/>
      <c r="AE31" s="3"/>
      <c r="AF31" s="3"/>
      <c r="AG31" s="3"/>
      <c r="AI31" s="3"/>
      <c r="AJ31" s="3"/>
      <c r="AK31" s="3"/>
      <c r="AL31" s="3"/>
    </row>
    <row r="32" spans="1:52" ht="15.75" thickBot="1" x14ac:dyDescent="0.3">
      <c r="A32" s="104"/>
      <c r="B32" s="319"/>
      <c r="C32" s="104"/>
      <c r="D32" s="104"/>
      <c r="E32" s="98"/>
      <c r="F32" s="98"/>
      <c r="G32" s="98"/>
      <c r="H32" s="105"/>
      <c r="I32" s="98"/>
      <c r="J32" s="98"/>
      <c r="K32" s="98"/>
      <c r="L32" s="98"/>
      <c r="M32" s="98"/>
      <c r="N32" s="98"/>
      <c r="O32" s="98"/>
      <c r="P32" s="98"/>
      <c r="Q32" s="98"/>
      <c r="R32" s="98"/>
      <c r="Y32" s="106"/>
      <c r="Z32" s="106"/>
    </row>
    <row r="33" spans="1:64" ht="57.75" thickBot="1" x14ac:dyDescent="0.3">
      <c r="A33" s="195" t="s">
        <v>126</v>
      </c>
      <c r="B33" s="314" t="s">
        <v>101</v>
      </c>
      <c r="C33" s="250">
        <f t="shared" ref="C33:Q33" si="4">C25-(C26+C27+C28+C29+C30)-C31</f>
        <v>0</v>
      </c>
      <c r="D33" s="196">
        <f t="shared" si="4"/>
        <v>0</v>
      </c>
      <c r="E33" s="197">
        <f t="shared" si="4"/>
        <v>0</v>
      </c>
      <c r="F33" s="197">
        <f t="shared" si="4"/>
        <v>0</v>
      </c>
      <c r="G33" s="214">
        <f t="shared" si="4"/>
        <v>0</v>
      </c>
      <c r="H33" s="251">
        <f t="shared" si="4"/>
        <v>0</v>
      </c>
      <c r="I33" s="196">
        <f t="shared" si="4"/>
        <v>0</v>
      </c>
      <c r="J33" s="197">
        <f t="shared" si="4"/>
        <v>0</v>
      </c>
      <c r="K33" s="197">
        <f t="shared" si="4"/>
        <v>0</v>
      </c>
      <c r="L33" s="214">
        <f t="shared" si="4"/>
        <v>0</v>
      </c>
      <c r="M33" s="251">
        <f t="shared" si="4"/>
        <v>0</v>
      </c>
      <c r="N33" s="196">
        <f t="shared" si="4"/>
        <v>0</v>
      </c>
      <c r="O33" s="197">
        <f t="shared" si="4"/>
        <v>0</v>
      </c>
      <c r="P33" s="197">
        <f t="shared" si="4"/>
        <v>0</v>
      </c>
      <c r="Q33" s="198">
        <f t="shared" si="4"/>
        <v>0</v>
      </c>
      <c r="Y33" s="106"/>
      <c r="Z33" s="106"/>
    </row>
    <row r="34" spans="1:64" ht="15.75" thickBot="1" x14ac:dyDescent="0.3">
      <c r="B34" s="97"/>
      <c r="H34" s="106"/>
      <c r="Y34" s="106"/>
      <c r="Z34" s="106"/>
    </row>
    <row r="35" spans="1:64" s="137" customFormat="1" ht="56.45" customHeight="1" thickBot="1" x14ac:dyDescent="0.3">
      <c r="A35" s="195" t="s">
        <v>116</v>
      </c>
      <c r="B35" s="199"/>
      <c r="C35" s="200" t="str">
        <f t="shared" ref="C35:Q35" si="5">IF(SUM(C24:C25,C28:C31)&gt;0,"Проверка пройдена","Заполните данные в балансе")</f>
        <v>Проверка пройдена</v>
      </c>
      <c r="D35" s="201" t="str">
        <f t="shared" si="5"/>
        <v>Проверка пройдена</v>
      </c>
      <c r="E35" s="201" t="str">
        <f t="shared" si="5"/>
        <v>Проверка пройдена</v>
      </c>
      <c r="F35" s="201" t="str">
        <f t="shared" si="5"/>
        <v>Проверка пройдена</v>
      </c>
      <c r="G35" s="215" t="str">
        <f t="shared" si="5"/>
        <v>Проверка пройдена</v>
      </c>
      <c r="H35" s="200" t="str">
        <f t="shared" si="5"/>
        <v>Проверка пройдена</v>
      </c>
      <c r="I35" s="201" t="str">
        <f t="shared" si="5"/>
        <v>Проверка пройдена</v>
      </c>
      <c r="J35" s="201" t="str">
        <f t="shared" si="5"/>
        <v>Проверка пройдена</v>
      </c>
      <c r="K35" s="201" t="str">
        <f t="shared" si="5"/>
        <v>Проверка пройдена</v>
      </c>
      <c r="L35" s="215" t="str">
        <f t="shared" si="5"/>
        <v>Проверка пройдена</v>
      </c>
      <c r="M35" s="200" t="str">
        <f t="shared" si="5"/>
        <v>Проверка пройдена</v>
      </c>
      <c r="N35" s="201" t="str">
        <f t="shared" si="5"/>
        <v>Проверка пройдена</v>
      </c>
      <c r="O35" s="201" t="str">
        <f t="shared" si="5"/>
        <v>Проверка пройдена</v>
      </c>
      <c r="P35" s="201" t="str">
        <f t="shared" si="5"/>
        <v>Проверка пройдена</v>
      </c>
      <c r="Q35" s="219" t="str">
        <f t="shared" si="5"/>
        <v>Проверка пройдена</v>
      </c>
      <c r="Y35" s="138"/>
      <c r="Z35" s="138"/>
    </row>
    <row r="36" spans="1:64" x14ac:dyDescent="0.25">
      <c r="D36" s="106"/>
      <c r="H36" s="106"/>
      <c r="Y36" s="106"/>
      <c r="Z36" s="106"/>
    </row>
    <row r="37" spans="1:64" x14ac:dyDescent="0.25">
      <c r="A37" s="95" t="s">
        <v>110</v>
      </c>
      <c r="B37" s="16"/>
      <c r="C37" s="3"/>
      <c r="D37" s="3"/>
      <c r="E37" s="3"/>
      <c r="F37" s="3"/>
      <c r="G37" s="3"/>
      <c r="H37" s="4"/>
      <c r="I37" s="3"/>
      <c r="J37" s="3"/>
      <c r="K37" s="3"/>
      <c r="L37" s="3"/>
      <c r="M37" s="3"/>
      <c r="N37" s="3"/>
      <c r="O37" s="139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U37" s="3"/>
      <c r="AV37" s="3"/>
      <c r="AW37" s="3"/>
    </row>
    <row r="38" spans="1:64" x14ac:dyDescent="0.25">
      <c r="A38" s="96" t="s">
        <v>121</v>
      </c>
      <c r="B38" s="1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</row>
    <row r="39" spans="1:64" ht="15.75" thickBot="1" x14ac:dyDescent="0.3">
      <c r="A39" s="96" t="s">
        <v>122</v>
      </c>
      <c r="B39" s="1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</row>
    <row r="40" spans="1:64" ht="14.45" customHeight="1" x14ac:dyDescent="0.25">
      <c r="A40" s="369" t="s">
        <v>15</v>
      </c>
      <c r="B40" s="371" t="s">
        <v>34</v>
      </c>
      <c r="C40" s="362" t="str">
        <f>(YEAR(Date)-7)&amp;" год"</f>
        <v>2012 год</v>
      </c>
      <c r="D40" s="375" t="str">
        <f>C40</f>
        <v>2012 год</v>
      </c>
      <c r="E40" s="365"/>
      <c r="F40" s="365"/>
      <c r="G40" s="368"/>
      <c r="H40" s="362" t="str">
        <f>(LEFT(C40,4)+1)&amp;" год"</f>
        <v>2013 год</v>
      </c>
      <c r="I40" s="375" t="str">
        <f>H40</f>
        <v>2013 год</v>
      </c>
      <c r="J40" s="365"/>
      <c r="K40" s="365"/>
      <c r="L40" s="368"/>
      <c r="M40" s="362" t="str">
        <f>(LEFT(H40,4)+1)&amp;" год"</f>
        <v>2014 год</v>
      </c>
      <c r="N40" s="375" t="str">
        <f>M40</f>
        <v>2014 год</v>
      </c>
      <c r="O40" s="365"/>
      <c r="P40" s="365"/>
      <c r="Q40" s="368"/>
      <c r="R40" s="362" t="str">
        <f>(LEFT(M40,4)+1)&amp;" год"</f>
        <v>2015 год</v>
      </c>
      <c r="S40" s="375" t="str">
        <f>R40</f>
        <v>2015 год</v>
      </c>
      <c r="T40" s="365"/>
      <c r="U40" s="365"/>
      <c r="V40" s="368"/>
      <c r="W40" s="362" t="str">
        <f>(LEFT(R40,4)+1)&amp;" год"</f>
        <v>2016 год</v>
      </c>
      <c r="X40" s="375" t="str">
        <f>W40</f>
        <v>2016 год</v>
      </c>
      <c r="Y40" s="365"/>
      <c r="Z40" s="365"/>
      <c r="AA40" s="368"/>
      <c r="AB40" s="362" t="str">
        <f>(LEFT(W40,4)+1)&amp;" год"</f>
        <v>2017 год</v>
      </c>
      <c r="AC40" s="375" t="str">
        <f>AB40</f>
        <v>2017 год</v>
      </c>
      <c r="AD40" s="365"/>
      <c r="AE40" s="365"/>
      <c r="AF40" s="368"/>
      <c r="AG40" s="362" t="str">
        <f>(LEFT(AB40,4)+1)&amp;" год"</f>
        <v>2018 год</v>
      </c>
      <c r="AH40" s="375" t="str">
        <f>AG40</f>
        <v>2018 год</v>
      </c>
      <c r="AI40" s="365"/>
      <c r="AJ40" s="365"/>
      <c r="AK40" s="366"/>
      <c r="AL40" s="3"/>
      <c r="AM40" s="3"/>
      <c r="AT40" s="4"/>
      <c r="AU40" s="4"/>
      <c r="AV40" s="4"/>
      <c r="AW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</row>
    <row r="41" spans="1:64" ht="15.75" thickBot="1" x14ac:dyDescent="0.3">
      <c r="A41" s="370"/>
      <c r="B41" s="372"/>
      <c r="C41" s="363"/>
      <c r="D41" s="338" t="s">
        <v>0</v>
      </c>
      <c r="E41" s="329" t="s">
        <v>1</v>
      </c>
      <c r="F41" s="329" t="s">
        <v>2</v>
      </c>
      <c r="G41" s="330" t="s">
        <v>3</v>
      </c>
      <c r="H41" s="363"/>
      <c r="I41" s="328" t="s">
        <v>0</v>
      </c>
      <c r="J41" s="329" t="s">
        <v>1</v>
      </c>
      <c r="K41" s="329" t="s">
        <v>2</v>
      </c>
      <c r="L41" s="330" t="s">
        <v>3</v>
      </c>
      <c r="M41" s="363"/>
      <c r="N41" s="328" t="s">
        <v>0</v>
      </c>
      <c r="O41" s="329" t="s">
        <v>1</v>
      </c>
      <c r="P41" s="329" t="s">
        <v>2</v>
      </c>
      <c r="Q41" s="330" t="s">
        <v>3</v>
      </c>
      <c r="R41" s="363"/>
      <c r="S41" s="328" t="s">
        <v>0</v>
      </c>
      <c r="T41" s="329" t="s">
        <v>1</v>
      </c>
      <c r="U41" s="329" t="s">
        <v>2</v>
      </c>
      <c r="V41" s="331" t="s">
        <v>3</v>
      </c>
      <c r="W41" s="363"/>
      <c r="X41" s="328" t="s">
        <v>0</v>
      </c>
      <c r="Y41" s="329" t="s">
        <v>1</v>
      </c>
      <c r="Z41" s="329" t="s">
        <v>2</v>
      </c>
      <c r="AA41" s="330" t="s">
        <v>3</v>
      </c>
      <c r="AB41" s="363"/>
      <c r="AC41" s="328" t="s">
        <v>0</v>
      </c>
      <c r="AD41" s="329" t="s">
        <v>1</v>
      </c>
      <c r="AE41" s="329" t="s">
        <v>2</v>
      </c>
      <c r="AF41" s="330" t="s">
        <v>3</v>
      </c>
      <c r="AG41" s="363"/>
      <c r="AH41" s="338" t="s">
        <v>0</v>
      </c>
      <c r="AI41" s="329" t="s">
        <v>1</v>
      </c>
      <c r="AJ41" s="329" t="s">
        <v>2</v>
      </c>
      <c r="AK41" s="331" t="s">
        <v>3</v>
      </c>
      <c r="AL41" s="3"/>
      <c r="AM41" s="3"/>
      <c r="AT41" s="4"/>
      <c r="AU41" s="4"/>
      <c r="AV41" s="4"/>
      <c r="AW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</row>
    <row r="42" spans="1:64" s="107" customFormat="1" ht="15.75" thickBot="1" x14ac:dyDescent="0.3">
      <c r="A42" s="89" t="s">
        <v>8</v>
      </c>
      <c r="B42" s="83" t="s">
        <v>101</v>
      </c>
      <c r="C42" s="55">
        <f>G42</f>
        <v>4.3</v>
      </c>
      <c r="D42" s="316">
        <v>4.3499999999999996</v>
      </c>
      <c r="E42" s="317">
        <v>4.3</v>
      </c>
      <c r="F42" s="317">
        <v>4.3099999999999996</v>
      </c>
      <c r="G42" s="318">
        <v>4.3</v>
      </c>
      <c r="H42" s="56">
        <f>L42</f>
        <v>4.1849999999999996</v>
      </c>
      <c r="I42" s="316">
        <v>4.18</v>
      </c>
      <c r="J42" s="317">
        <v>4.1749999999999998</v>
      </c>
      <c r="K42" s="317">
        <v>4.1749999999999998</v>
      </c>
      <c r="L42" s="318">
        <v>4.1849999999999996</v>
      </c>
      <c r="M42" s="56">
        <f>Q42</f>
        <v>3.6</v>
      </c>
      <c r="N42" s="316">
        <v>3.6</v>
      </c>
      <c r="O42" s="317">
        <v>3.6</v>
      </c>
      <c r="P42" s="317">
        <v>3.6</v>
      </c>
      <c r="Q42" s="318">
        <v>3.6</v>
      </c>
      <c r="R42" s="56">
        <f>V42</f>
        <v>3.6</v>
      </c>
      <c r="S42" s="316">
        <v>3.6</v>
      </c>
      <c r="T42" s="317">
        <v>3.6</v>
      </c>
      <c r="U42" s="317">
        <v>3.6</v>
      </c>
      <c r="V42" s="318">
        <v>3.6</v>
      </c>
      <c r="W42" s="56">
        <f>AA42</f>
        <v>3.6</v>
      </c>
      <c r="X42" s="57">
        <f>D31</f>
        <v>3.6</v>
      </c>
      <c r="Y42" s="57">
        <f>E31</f>
        <v>3.6</v>
      </c>
      <c r="Z42" s="57">
        <f>F31</f>
        <v>3.6</v>
      </c>
      <c r="AA42" s="57">
        <f>G31</f>
        <v>3.6</v>
      </c>
      <c r="AB42" s="56">
        <f>AF42</f>
        <v>3.6</v>
      </c>
      <c r="AC42" s="57">
        <f>I31</f>
        <v>3.6</v>
      </c>
      <c r="AD42" s="57">
        <f>J31</f>
        <v>3.6</v>
      </c>
      <c r="AE42" s="57">
        <f>K31</f>
        <v>3.6</v>
      </c>
      <c r="AF42" s="57">
        <f>L31</f>
        <v>3.6</v>
      </c>
      <c r="AG42" s="56">
        <f>AK42</f>
        <v>3.6</v>
      </c>
      <c r="AH42" s="77">
        <f>N31</f>
        <v>3.6</v>
      </c>
      <c r="AI42" s="57">
        <f>O31</f>
        <v>3.6</v>
      </c>
      <c r="AJ42" s="57">
        <f>P31</f>
        <v>3.6</v>
      </c>
      <c r="AK42" s="78">
        <f>Q31</f>
        <v>3.6</v>
      </c>
      <c r="AL42" s="53"/>
      <c r="AM42" s="53"/>
      <c r="AT42" s="54"/>
      <c r="AU42" s="54"/>
      <c r="AV42" s="54"/>
      <c r="AW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</row>
    <row r="43" spans="1:64" s="103" customFormat="1" ht="15.75" thickBot="1" x14ac:dyDescent="0.3">
      <c r="A43" s="79"/>
      <c r="B43" s="315"/>
      <c r="C43" s="28"/>
      <c r="D43" s="27"/>
      <c r="E43" s="27"/>
      <c r="F43" s="27"/>
      <c r="G43" s="27"/>
      <c r="H43" s="28"/>
      <c r="I43" s="27"/>
      <c r="J43" s="27"/>
      <c r="K43" s="27"/>
      <c r="L43" s="27"/>
      <c r="M43" s="28"/>
      <c r="N43" s="27"/>
      <c r="O43" s="27"/>
      <c r="P43" s="27"/>
      <c r="Q43" s="27"/>
      <c r="R43" s="28"/>
      <c r="S43" s="27"/>
      <c r="T43" s="27"/>
      <c r="U43" s="27"/>
      <c r="V43" s="27"/>
      <c r="W43" s="28"/>
      <c r="X43" s="27"/>
      <c r="Y43" s="27"/>
      <c r="Z43" s="27"/>
      <c r="AA43" s="27"/>
      <c r="AB43" s="28"/>
      <c r="AC43" s="27"/>
      <c r="AD43" s="27"/>
      <c r="AE43" s="27"/>
      <c r="AF43" s="27"/>
      <c r="AG43" s="28"/>
      <c r="AH43" s="27"/>
      <c r="AI43" s="27"/>
      <c r="AJ43" s="27"/>
      <c r="AK43" s="27"/>
    </row>
    <row r="44" spans="1:64" s="142" customFormat="1" ht="63.6" customHeight="1" thickBot="1" x14ac:dyDescent="0.3">
      <c r="A44" s="195" t="s">
        <v>117</v>
      </c>
      <c r="B44" s="202"/>
      <c r="C44" s="200" t="str">
        <f>IF(SUM(C42:C42)&gt;0,"Проверка пройдена","Заполните данные в запасах (Таблица 4)")</f>
        <v>Проверка пройдена</v>
      </c>
      <c r="D44" s="201" t="str">
        <f>IF(SUM(D42:D42)&gt;0,"Проверка пройдена","Заполните данные в запасах (Таблица 4)")</f>
        <v>Проверка пройдена</v>
      </c>
      <c r="E44" s="203" t="str">
        <f>IF(E42&gt;0,"Проверка пройдена","Заполните данные в запасах (Таблица 4)")</f>
        <v>Проверка пройдена</v>
      </c>
      <c r="F44" s="203" t="str">
        <f t="shared" ref="F44:V44" si="6">IF(F42&gt;0,"Проверка пройдена","Заполните данные в запасах (Таблица 4)")</f>
        <v>Проверка пройдена</v>
      </c>
      <c r="G44" s="204" t="str">
        <f t="shared" si="6"/>
        <v>Проверка пройдена</v>
      </c>
      <c r="H44" s="200" t="str">
        <f t="shared" si="6"/>
        <v>Проверка пройдена</v>
      </c>
      <c r="I44" s="201" t="str">
        <f t="shared" si="6"/>
        <v>Проверка пройдена</v>
      </c>
      <c r="J44" s="203" t="str">
        <f t="shared" si="6"/>
        <v>Проверка пройдена</v>
      </c>
      <c r="K44" s="203" t="str">
        <f t="shared" si="6"/>
        <v>Проверка пройдена</v>
      </c>
      <c r="L44" s="204" t="str">
        <f t="shared" si="6"/>
        <v>Проверка пройдена</v>
      </c>
      <c r="M44" s="203" t="str">
        <f t="shared" si="6"/>
        <v>Проверка пройдена</v>
      </c>
      <c r="N44" s="201" t="str">
        <f t="shared" si="6"/>
        <v>Проверка пройдена</v>
      </c>
      <c r="O44" s="203" t="str">
        <f t="shared" si="6"/>
        <v>Проверка пройдена</v>
      </c>
      <c r="P44" s="203" t="str">
        <f t="shared" si="6"/>
        <v>Проверка пройдена</v>
      </c>
      <c r="Q44" s="204" t="str">
        <f t="shared" si="6"/>
        <v>Проверка пройдена</v>
      </c>
      <c r="R44" s="200" t="str">
        <f t="shared" si="6"/>
        <v>Проверка пройдена</v>
      </c>
      <c r="S44" s="201" t="str">
        <f t="shared" si="6"/>
        <v>Проверка пройдена</v>
      </c>
      <c r="T44" s="203" t="str">
        <f t="shared" si="6"/>
        <v>Проверка пройдена</v>
      </c>
      <c r="U44" s="203" t="str">
        <f t="shared" si="6"/>
        <v>Проверка пройдена</v>
      </c>
      <c r="V44" s="205" t="str">
        <f t="shared" si="6"/>
        <v>Проверка пройдена</v>
      </c>
      <c r="W44" s="140"/>
      <c r="X44" s="141"/>
      <c r="Y44" s="141"/>
      <c r="Z44" s="141"/>
      <c r="AA44" s="141"/>
      <c r="AB44" s="140"/>
      <c r="AC44" s="141"/>
      <c r="AD44" s="141"/>
      <c r="AE44" s="141"/>
      <c r="AF44" s="141"/>
      <c r="AG44" s="140"/>
      <c r="AH44" s="141"/>
      <c r="AI44" s="141"/>
      <c r="AJ44" s="141"/>
      <c r="AK44" s="141"/>
    </row>
    <row r="45" spans="1:64" x14ac:dyDescent="0.25">
      <c r="A45" s="1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3"/>
    </row>
    <row r="46" spans="1:64" s="103" customFormat="1" x14ac:dyDescent="0.25">
      <c r="A46" s="95" t="s">
        <v>111</v>
      </c>
      <c r="B46" s="108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28"/>
      <c r="X46" s="27"/>
      <c r="Y46" s="27"/>
      <c r="Z46" s="27"/>
      <c r="AA46" s="27"/>
      <c r="AB46" s="28"/>
      <c r="AC46" s="27"/>
      <c r="AD46" s="27"/>
      <c r="AE46" s="27"/>
      <c r="AF46" s="27"/>
      <c r="AG46" s="28"/>
      <c r="AH46" s="27"/>
      <c r="AI46" s="27"/>
      <c r="AJ46" s="27"/>
      <c r="AK46" s="27"/>
    </row>
    <row r="47" spans="1:64" s="103" customFormat="1" ht="15.75" thickBot="1" x14ac:dyDescent="0.3">
      <c r="A47" s="96" t="s">
        <v>125</v>
      </c>
      <c r="B47" s="108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28"/>
      <c r="X47" s="27"/>
      <c r="Y47" s="27"/>
      <c r="Z47" s="27"/>
      <c r="AA47" s="27"/>
      <c r="AB47" s="28"/>
      <c r="AC47" s="27"/>
      <c r="AD47" s="27"/>
      <c r="AE47" s="27"/>
      <c r="AF47" s="27"/>
      <c r="AG47" s="28"/>
      <c r="AH47" s="27"/>
      <c r="AI47" s="27"/>
      <c r="AJ47" s="27"/>
      <c r="AK47" s="27"/>
    </row>
    <row r="48" spans="1:64" ht="14.45" customHeight="1" x14ac:dyDescent="0.25">
      <c r="A48" s="369" t="s">
        <v>15</v>
      </c>
      <c r="B48" s="371" t="s">
        <v>34</v>
      </c>
      <c r="C48" s="362" t="str">
        <f>YEAR(Date)&amp;" год"</f>
        <v>2019 год</v>
      </c>
      <c r="D48" s="375" t="str">
        <f>C48</f>
        <v>2019 год</v>
      </c>
      <c r="E48" s="365"/>
      <c r="F48" s="365"/>
      <c r="G48" s="366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49" ht="15.75" thickBot="1" x14ac:dyDescent="0.3">
      <c r="A49" s="370"/>
      <c r="B49" s="372"/>
      <c r="C49" s="363"/>
      <c r="D49" s="338" t="s">
        <v>0</v>
      </c>
      <c r="E49" s="329" t="s">
        <v>1</v>
      </c>
      <c r="F49" s="329" t="s">
        <v>2</v>
      </c>
      <c r="G49" s="331" t="s">
        <v>3</v>
      </c>
      <c r="H49" s="206" t="s">
        <v>73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49" ht="15.75" thickBot="1" x14ac:dyDescent="0.3">
      <c r="A50" s="89" t="s">
        <v>77</v>
      </c>
      <c r="B50" s="83" t="s">
        <v>104</v>
      </c>
      <c r="C50" s="58">
        <f>SUM(D50:G50)</f>
        <v>0</v>
      </c>
      <c r="D50" s="298">
        <f>IFERROR(AVERAGE(D28/$C28,I28/$H28,N28/$M28),0)</f>
        <v>0</v>
      </c>
      <c r="E50" s="299">
        <f>IF(IFERROR(AVERAGE(E28/$C28,J28/$H28,O28/$M28),0)&gt;0,1-SUM(D50,F50:G50),0)</f>
        <v>0</v>
      </c>
      <c r="F50" s="299">
        <f>IFERROR(AVERAGE(F28/$C28,K28/$H28,P28/$M28),0)</f>
        <v>0</v>
      </c>
      <c r="G50" s="300">
        <f>IFERROR(AVERAGE(G28/$C28,L28/$H28,Q28/$M28),0)</f>
        <v>0</v>
      </c>
      <c r="H50" s="301" t="str">
        <f>IF(AND(SUM(D50:G50)&gt;0,C50&lt;&gt;1),"Сумма значений 1,2,3,4 кварталов должна равняться '1'","Проверка пройдена")</f>
        <v>Проверка пройдена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49" x14ac:dyDescent="0.25">
      <c r="A51" s="1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3"/>
    </row>
    <row r="52" spans="1:49" x14ac:dyDescent="0.25">
      <c r="A52" s="95" t="s">
        <v>112</v>
      </c>
      <c r="B52" s="88"/>
      <c r="C52" s="6"/>
      <c r="D52" s="6"/>
      <c r="E52" s="6"/>
      <c r="F52" s="6"/>
      <c r="G52" s="6"/>
      <c r="H52" s="6"/>
      <c r="I52" s="6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</row>
    <row r="53" spans="1:49" x14ac:dyDescent="0.25">
      <c r="A53" s="96" t="s">
        <v>123</v>
      </c>
      <c r="B53" s="88"/>
      <c r="C53" s="6"/>
      <c r="D53" s="6"/>
      <c r="E53" s="6"/>
      <c r="F53" s="6"/>
      <c r="G53" s="6"/>
      <c r="H53" s="6"/>
      <c r="I53" s="6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</row>
    <row r="54" spans="1:49" ht="15.75" thickBot="1" x14ac:dyDescent="0.3">
      <c r="A54" s="96" t="s">
        <v>124</v>
      </c>
      <c r="B54" s="88"/>
      <c r="C54" s="6"/>
      <c r="D54" s="6"/>
      <c r="E54" s="6"/>
      <c r="F54" s="6"/>
      <c r="G54" s="6"/>
      <c r="H54" s="6"/>
      <c r="I54" s="6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spans="1:49" x14ac:dyDescent="0.25">
      <c r="A55" s="376" t="s">
        <v>17</v>
      </c>
      <c r="B55" s="378" t="s">
        <v>18</v>
      </c>
      <c r="C55" s="380" t="str">
        <f>YEAR(Date)&amp;" год"</f>
        <v>2019 год</v>
      </c>
      <c r="D55" s="381"/>
      <c r="E55" s="381"/>
      <c r="F55" s="382"/>
      <c r="G55" s="375" t="str">
        <f>(LEFT(C55,4)+1)&amp;" год"</f>
        <v>2020 год</v>
      </c>
      <c r="H55" s="365"/>
      <c r="I55" s="365"/>
      <c r="J55" s="366"/>
      <c r="K55" s="375" t="str">
        <f>(LEFT(G55,4)+1)&amp;" год"</f>
        <v>2021 год</v>
      </c>
      <c r="L55" s="365"/>
      <c r="M55" s="365"/>
      <c r="N55" s="366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spans="1:49" ht="15.75" thickBot="1" x14ac:dyDescent="0.3">
      <c r="A56" s="377"/>
      <c r="B56" s="379"/>
      <c r="C56" s="59">
        <v>1</v>
      </c>
      <c r="D56" s="60">
        <v>2</v>
      </c>
      <c r="E56" s="60">
        <v>3</v>
      </c>
      <c r="F56" s="61">
        <v>4</v>
      </c>
      <c r="G56" s="62" t="s">
        <v>0</v>
      </c>
      <c r="H56" s="50" t="s">
        <v>1</v>
      </c>
      <c r="I56" s="50" t="s">
        <v>2</v>
      </c>
      <c r="J56" s="52" t="s">
        <v>3</v>
      </c>
      <c r="K56" s="62" t="s">
        <v>0</v>
      </c>
      <c r="L56" s="50" t="s">
        <v>1</v>
      </c>
      <c r="M56" s="50" t="s">
        <v>2</v>
      </c>
      <c r="N56" s="52" t="s">
        <v>3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spans="1:49" x14ac:dyDescent="0.25">
      <c r="A57" s="209" t="s">
        <v>19</v>
      </c>
      <c r="B57" s="210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2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</row>
    <row r="58" spans="1:49" x14ac:dyDescent="0.25">
      <c r="A58" s="177" t="s">
        <v>20</v>
      </c>
      <c r="B58" s="182" t="s">
        <v>101</v>
      </c>
      <c r="C58" s="159">
        <f>'2. Прогноз. Без корректировки'!C23</f>
        <v>12.368</v>
      </c>
      <c r="D58" s="160">
        <f>'2. Прогноз. Без корректировки'!D23</f>
        <v>11.233000000000001</v>
      </c>
      <c r="E58" s="160">
        <f>'2. Прогноз. Без корректировки'!E23</f>
        <v>11.75</v>
      </c>
      <c r="F58" s="161">
        <f>'2. Прогноз. Без корректировки'!F23</f>
        <v>11.388</v>
      </c>
      <c r="G58" s="159">
        <f>'2. Прогноз. Без корректировки'!H23</f>
        <v>12.448</v>
      </c>
      <c r="H58" s="160">
        <f>'2. Прогноз. Без корректировки'!I23</f>
        <v>11.233000000000001</v>
      </c>
      <c r="I58" s="160">
        <f>'2. Прогноз. Без корректировки'!J23</f>
        <v>11.75</v>
      </c>
      <c r="J58" s="161">
        <f>'2. Прогноз. Без корректировки'!K23</f>
        <v>11.388</v>
      </c>
      <c r="K58" s="159">
        <f>'2. Прогноз. Без корректировки'!M23</f>
        <v>12.448</v>
      </c>
      <c r="L58" s="160">
        <f>'2. Прогноз. Без корректировки'!N23</f>
        <v>11.233000000000001</v>
      </c>
      <c r="M58" s="160">
        <f>'2. Прогноз. Без корректировки'!O23</f>
        <v>11.75</v>
      </c>
      <c r="N58" s="161">
        <f>'2. Прогноз. Без корректировки'!P23</f>
        <v>11.388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</row>
    <row r="59" spans="1:49" x14ac:dyDescent="0.25">
      <c r="A59" s="177" t="s">
        <v>21</v>
      </c>
      <c r="B59" s="182" t="s">
        <v>101</v>
      </c>
      <c r="C59" s="147">
        <f>'2. Прогноз. Без корректировки'!C40</f>
        <v>0</v>
      </c>
      <c r="D59" s="148">
        <f>'2. Прогноз. Без корректировки'!D40</f>
        <v>0</v>
      </c>
      <c r="E59" s="148">
        <f>'2. Прогноз. Без корректировки'!E40</f>
        <v>0</v>
      </c>
      <c r="F59" s="149">
        <f>'2. Прогноз. Без корректировки'!F40</f>
        <v>0</v>
      </c>
      <c r="G59" s="147">
        <f>'2. Прогноз. Без корректировки'!H40</f>
        <v>0</v>
      </c>
      <c r="H59" s="148">
        <f>'2. Прогноз. Без корректировки'!I40</f>
        <v>0</v>
      </c>
      <c r="I59" s="148">
        <f>'2. Прогноз. Без корректировки'!J40</f>
        <v>0</v>
      </c>
      <c r="J59" s="149">
        <f>'2. Прогноз. Без корректировки'!K40</f>
        <v>0</v>
      </c>
      <c r="K59" s="147">
        <f>'2. Прогноз. Без корректировки'!M40</f>
        <v>0</v>
      </c>
      <c r="L59" s="148">
        <f>'2. Прогноз. Без корректировки'!N40</f>
        <v>0</v>
      </c>
      <c r="M59" s="148">
        <f>'2. Прогноз. Без корректировки'!O40</f>
        <v>0</v>
      </c>
      <c r="N59" s="149">
        <f>'2. Прогноз. Без корректировки'!P40</f>
        <v>0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</row>
    <row r="60" spans="1:49" s="15" customFormat="1" ht="15.75" customHeight="1" x14ac:dyDescent="0.2">
      <c r="A60" s="177" t="s">
        <v>22</v>
      </c>
      <c r="B60" s="182" t="s">
        <v>101</v>
      </c>
      <c r="C60" s="147">
        <f>'2. Прогноз. Без корректировки'!C47</f>
        <v>3.6</v>
      </c>
      <c r="D60" s="148">
        <f>'2. Прогноз. Без корректировки'!D47+C74</f>
        <v>3.6</v>
      </c>
      <c r="E60" s="148">
        <f>'2. Прогноз. Без корректировки'!E47+D74</f>
        <v>3.6</v>
      </c>
      <c r="F60" s="149">
        <f>'2. Прогноз. Без корректировки'!F47+E74</f>
        <v>3.6</v>
      </c>
      <c r="G60" s="147">
        <f>'2. Прогноз. Без корректировки'!H47+F74</f>
        <v>3.6</v>
      </c>
      <c r="H60" s="148">
        <f>'2. Прогноз. Без корректировки'!I47+G74</f>
        <v>3.6</v>
      </c>
      <c r="I60" s="148">
        <f>'2. Прогноз. Без корректировки'!J47+H74</f>
        <v>3.6</v>
      </c>
      <c r="J60" s="149">
        <f>'2. Прогноз. Без корректировки'!K47+I74</f>
        <v>3.6</v>
      </c>
      <c r="K60" s="147">
        <f>'2. Прогноз. Без корректировки'!M47+J74</f>
        <v>3.6</v>
      </c>
      <c r="L60" s="148">
        <f>'2. Прогноз. Без корректировки'!N47+K74</f>
        <v>3.6</v>
      </c>
      <c r="M60" s="148">
        <f>'2. Прогноз. Без корректировки'!O47+L74</f>
        <v>3.6</v>
      </c>
      <c r="N60" s="149">
        <f>'2. Прогноз. Без корректировки'!P47+M74</f>
        <v>3.6</v>
      </c>
    </row>
    <row r="61" spans="1:49" ht="28.5" x14ac:dyDescent="0.25">
      <c r="A61" s="178" t="s">
        <v>23</v>
      </c>
      <c r="B61" s="176" t="s">
        <v>101</v>
      </c>
      <c r="C61" s="162">
        <f>(MIN(D42,I42,N42,S42,X42,AC42,AH42))</f>
        <v>3.6</v>
      </c>
      <c r="D61" s="163">
        <f>(MIN(E42,J42,O42,T42,Y42,AD42,AI42))</f>
        <v>3.6</v>
      </c>
      <c r="E61" s="163">
        <f>(MIN(F42,K42,P42,U42,Z42,AE42,AJ42))</f>
        <v>3.6</v>
      </c>
      <c r="F61" s="164">
        <f>(MIN(G42,L42,Q42,V42,AA42,AF42,AK42))</f>
        <v>3.6</v>
      </c>
      <c r="G61" s="165">
        <f>(MIN(D42,I42,N42,S42,X42,AC42,AH42))</f>
        <v>3.6</v>
      </c>
      <c r="H61" s="166">
        <f>(MIN(E42,J42,O42,T42,Y42,AD42,AI42))</f>
        <v>3.6</v>
      </c>
      <c r="I61" s="163">
        <f>(MIN(F42,K42,P42,U42,Z42,AE42,AJ42))</f>
        <v>3.6</v>
      </c>
      <c r="J61" s="164">
        <f>(MIN(G42,L42,Q42,V42,AA42,AF42,AK42))</f>
        <v>3.6</v>
      </c>
      <c r="K61" s="162">
        <f>(MIN(D42,I42,N42,S42,X42,AC42,AH42))</f>
        <v>3.6</v>
      </c>
      <c r="L61" s="167">
        <f>(MIN(E42,J42,O42,T42,Y42,AD42,AI42))</f>
        <v>3.6</v>
      </c>
      <c r="M61" s="167">
        <f>(MIN(F42,K42,P42,U42,Z42,AE42,AJ42))</f>
        <v>3.6</v>
      </c>
      <c r="N61" s="168">
        <f>(MIN(G42,L42,Q42,V42,AA42,AF42,AK42))</f>
        <v>3.6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spans="1:49" x14ac:dyDescent="0.25">
      <c r="A62" s="179" t="s">
        <v>24</v>
      </c>
      <c r="B62" s="213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50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1:49" ht="60" x14ac:dyDescent="0.25">
      <c r="A63" s="252" t="s">
        <v>25</v>
      </c>
      <c r="B63" s="182" t="s">
        <v>101</v>
      </c>
      <c r="C63" s="159">
        <f t="shared" ref="C63:N63" si="7">IF(C60&lt;C61,-(C60-C61),0)</f>
        <v>0</v>
      </c>
      <c r="D63" s="160">
        <f t="shared" si="7"/>
        <v>0</v>
      </c>
      <c r="E63" s="160">
        <f t="shared" si="7"/>
        <v>0</v>
      </c>
      <c r="F63" s="161">
        <f t="shared" si="7"/>
        <v>0</v>
      </c>
      <c r="G63" s="159">
        <f t="shared" si="7"/>
        <v>0</v>
      </c>
      <c r="H63" s="160">
        <f t="shared" si="7"/>
        <v>0</v>
      </c>
      <c r="I63" s="160">
        <f t="shared" si="7"/>
        <v>0</v>
      </c>
      <c r="J63" s="161">
        <f t="shared" si="7"/>
        <v>0</v>
      </c>
      <c r="K63" s="159">
        <f t="shared" si="7"/>
        <v>0</v>
      </c>
      <c r="L63" s="160">
        <f t="shared" si="7"/>
        <v>0</v>
      </c>
      <c r="M63" s="160">
        <f t="shared" si="7"/>
        <v>0</v>
      </c>
      <c r="N63" s="161">
        <f t="shared" si="7"/>
        <v>0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</row>
    <row r="64" spans="1:49" ht="30" x14ac:dyDescent="0.25">
      <c r="A64" s="252" t="s">
        <v>79</v>
      </c>
      <c r="B64" s="182" t="s">
        <v>101</v>
      </c>
      <c r="C64" s="147">
        <f t="shared" ref="C64:N64" si="8">IF(C60&gt;C61,C60-C61,0)</f>
        <v>0</v>
      </c>
      <c r="D64" s="148">
        <f t="shared" si="8"/>
        <v>0</v>
      </c>
      <c r="E64" s="148">
        <f t="shared" si="8"/>
        <v>0</v>
      </c>
      <c r="F64" s="149">
        <f t="shared" si="8"/>
        <v>0</v>
      </c>
      <c r="G64" s="147">
        <f t="shared" si="8"/>
        <v>0</v>
      </c>
      <c r="H64" s="148">
        <f t="shared" si="8"/>
        <v>0</v>
      </c>
      <c r="I64" s="148">
        <f t="shared" si="8"/>
        <v>0</v>
      </c>
      <c r="J64" s="149">
        <f t="shared" si="8"/>
        <v>0</v>
      </c>
      <c r="K64" s="147">
        <f t="shared" si="8"/>
        <v>0</v>
      </c>
      <c r="L64" s="148">
        <f t="shared" si="8"/>
        <v>0</v>
      </c>
      <c r="M64" s="148">
        <f t="shared" si="8"/>
        <v>0</v>
      </c>
      <c r="N64" s="149">
        <f t="shared" si="8"/>
        <v>0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</row>
    <row r="65" spans="1:49" x14ac:dyDescent="0.25">
      <c r="A65" s="180" t="s">
        <v>80</v>
      </c>
      <c r="B65" s="182" t="s">
        <v>101</v>
      </c>
      <c r="C65" s="147">
        <f>-MIN(C58,C64,0)</f>
        <v>0</v>
      </c>
      <c r="D65" s="148">
        <f>-MIN(D58,D64,C72)</f>
        <v>0</v>
      </c>
      <c r="E65" s="148">
        <f>-MIN(E58,E64,D72)</f>
        <v>0</v>
      </c>
      <c r="F65" s="149">
        <f>-MIN(F58,F64,E72)</f>
        <v>0</v>
      </c>
      <c r="G65" s="147">
        <f>-MIN(G58,G64,0)</f>
        <v>0</v>
      </c>
      <c r="H65" s="148">
        <f>-MIN(H58,H64,G72)</f>
        <v>0</v>
      </c>
      <c r="I65" s="148">
        <f>-MIN(I58,I64,H72)</f>
        <v>0</v>
      </c>
      <c r="J65" s="149">
        <f>-MIN(J58,J64,I72)</f>
        <v>0</v>
      </c>
      <c r="K65" s="147">
        <f>-MIN(K58,K64,0)</f>
        <v>0</v>
      </c>
      <c r="L65" s="148">
        <f>-MIN(L58,L64,K72)</f>
        <v>0</v>
      </c>
      <c r="M65" s="148">
        <f>-MIN(M58,M64,L72)</f>
        <v>0</v>
      </c>
      <c r="N65" s="149">
        <f>-MIN(N58,N64,M72)</f>
        <v>0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</row>
    <row r="66" spans="1:49" x14ac:dyDescent="0.25">
      <c r="A66" s="180" t="s">
        <v>81</v>
      </c>
      <c r="B66" s="182" t="s">
        <v>101</v>
      </c>
      <c r="C66" s="170">
        <f>MIN(C64+C65,0)</f>
        <v>0</v>
      </c>
      <c r="D66" s="171">
        <f>MIN(D64+D65,-C73)</f>
        <v>0</v>
      </c>
      <c r="E66" s="171">
        <f>MIN(E64+E65,-D73)</f>
        <v>0</v>
      </c>
      <c r="F66" s="172">
        <f>MIN(F64+F65,-E73)</f>
        <v>0</v>
      </c>
      <c r="G66" s="170">
        <f t="shared" ref="G66:K66" si="9">MIN(G64+G65,0)</f>
        <v>0</v>
      </c>
      <c r="H66" s="171">
        <f>MIN(H64+H65,-G73)</f>
        <v>0</v>
      </c>
      <c r="I66" s="171">
        <f>MIN(I64+I65,-H73)</f>
        <v>0</v>
      </c>
      <c r="J66" s="172">
        <f>MIN(J64+J65,-I73)</f>
        <v>0</v>
      </c>
      <c r="K66" s="170">
        <f t="shared" si="9"/>
        <v>0</v>
      </c>
      <c r="L66" s="171">
        <f>MIN(L64+L65,-K73)</f>
        <v>0</v>
      </c>
      <c r="M66" s="171">
        <f>MIN(M64+M65,-L73)</f>
        <v>0</v>
      </c>
      <c r="N66" s="172">
        <f>MIN(N64+N65,-M73)</f>
        <v>0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</row>
    <row r="67" spans="1:49" x14ac:dyDescent="0.25">
      <c r="A67" s="179" t="s">
        <v>26</v>
      </c>
      <c r="B67" s="213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50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</row>
    <row r="68" spans="1:49" x14ac:dyDescent="0.25">
      <c r="A68" s="177" t="s">
        <v>27</v>
      </c>
      <c r="B68" s="182" t="s">
        <v>101</v>
      </c>
      <c r="C68" s="175">
        <f t="shared" ref="C68:N68" si="10">C58+C63-(C59-(C69-C66))+C65</f>
        <v>12.368</v>
      </c>
      <c r="D68" s="173">
        <f t="shared" si="10"/>
        <v>11.233000000000001</v>
      </c>
      <c r="E68" s="173">
        <f t="shared" si="10"/>
        <v>11.75</v>
      </c>
      <c r="F68" s="174">
        <f t="shared" si="10"/>
        <v>11.388</v>
      </c>
      <c r="G68" s="175">
        <f t="shared" si="10"/>
        <v>12.448</v>
      </c>
      <c r="H68" s="173">
        <f t="shared" si="10"/>
        <v>11.233000000000001</v>
      </c>
      <c r="I68" s="173">
        <f t="shared" si="10"/>
        <v>11.75</v>
      </c>
      <c r="J68" s="174">
        <f t="shared" si="10"/>
        <v>11.388</v>
      </c>
      <c r="K68" s="175">
        <f t="shared" si="10"/>
        <v>12.448</v>
      </c>
      <c r="L68" s="173">
        <f t="shared" si="10"/>
        <v>11.233000000000001</v>
      </c>
      <c r="M68" s="173">
        <f t="shared" si="10"/>
        <v>11.75</v>
      </c>
      <c r="N68" s="174">
        <f t="shared" si="10"/>
        <v>11.388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</row>
    <row r="69" spans="1:49" x14ac:dyDescent="0.25">
      <c r="A69" s="177" t="s">
        <v>28</v>
      </c>
      <c r="B69" s="182" t="s">
        <v>101</v>
      </c>
      <c r="C69" s="153">
        <f t="shared" ref="C69:N69" si="11">IF(C59&gt;=0.5*C63,C59-0.5*C63,0)+C66</f>
        <v>0</v>
      </c>
      <c r="D69" s="151">
        <f t="shared" si="11"/>
        <v>0</v>
      </c>
      <c r="E69" s="151">
        <f t="shared" si="11"/>
        <v>0</v>
      </c>
      <c r="F69" s="152">
        <f t="shared" si="11"/>
        <v>0</v>
      </c>
      <c r="G69" s="153">
        <f t="shared" si="11"/>
        <v>0</v>
      </c>
      <c r="H69" s="151">
        <f t="shared" si="11"/>
        <v>0</v>
      </c>
      <c r="I69" s="151">
        <f t="shared" si="11"/>
        <v>0</v>
      </c>
      <c r="J69" s="152">
        <f t="shared" si="11"/>
        <v>0</v>
      </c>
      <c r="K69" s="153">
        <f t="shared" si="11"/>
        <v>0</v>
      </c>
      <c r="L69" s="151">
        <f t="shared" si="11"/>
        <v>0</v>
      </c>
      <c r="M69" s="151">
        <f t="shared" si="11"/>
        <v>0</v>
      </c>
      <c r="N69" s="152">
        <f t="shared" si="11"/>
        <v>0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</row>
    <row r="70" spans="1:49" x14ac:dyDescent="0.25">
      <c r="A70" s="177" t="s">
        <v>29</v>
      </c>
      <c r="B70" s="182" t="s">
        <v>101</v>
      </c>
      <c r="C70" s="170">
        <f t="shared" ref="C70:N70" si="12">C60+C63-C66+C65</f>
        <v>3.6</v>
      </c>
      <c r="D70" s="171">
        <f t="shared" si="12"/>
        <v>3.6</v>
      </c>
      <c r="E70" s="171">
        <f t="shared" si="12"/>
        <v>3.6</v>
      </c>
      <c r="F70" s="172">
        <f t="shared" si="12"/>
        <v>3.6</v>
      </c>
      <c r="G70" s="170">
        <f t="shared" si="12"/>
        <v>3.6</v>
      </c>
      <c r="H70" s="171">
        <f t="shared" si="12"/>
        <v>3.6</v>
      </c>
      <c r="I70" s="171">
        <f t="shared" si="12"/>
        <v>3.6</v>
      </c>
      <c r="J70" s="172">
        <f t="shared" si="12"/>
        <v>3.6</v>
      </c>
      <c r="K70" s="170">
        <f t="shared" si="12"/>
        <v>3.6</v>
      </c>
      <c r="L70" s="171">
        <f t="shared" si="12"/>
        <v>3.6</v>
      </c>
      <c r="M70" s="171">
        <f t="shared" si="12"/>
        <v>3.6</v>
      </c>
      <c r="N70" s="172">
        <f t="shared" si="12"/>
        <v>3.6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</row>
    <row r="71" spans="1:49" x14ac:dyDescent="0.25">
      <c r="A71" s="179" t="s">
        <v>30</v>
      </c>
      <c r="B71" s="213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50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</row>
    <row r="72" spans="1:49" x14ac:dyDescent="0.25">
      <c r="A72" s="177" t="s">
        <v>31</v>
      </c>
      <c r="B72" s="182" t="s">
        <v>101</v>
      </c>
      <c r="C72" s="159">
        <f>C68-C58</f>
        <v>0</v>
      </c>
      <c r="D72" s="160">
        <f t="shared" ref="D72:F74" si="13">D68-D58+C72</f>
        <v>0</v>
      </c>
      <c r="E72" s="160">
        <f t="shared" si="13"/>
        <v>0</v>
      </c>
      <c r="F72" s="161">
        <f t="shared" si="13"/>
        <v>0</v>
      </c>
      <c r="G72" s="159">
        <f>G68-G58</f>
        <v>0</v>
      </c>
      <c r="H72" s="160">
        <f t="shared" ref="H72:J74" si="14">H68-H58+G72</f>
        <v>0</v>
      </c>
      <c r="I72" s="160">
        <f t="shared" si="14"/>
        <v>0</v>
      </c>
      <c r="J72" s="161">
        <f t="shared" si="14"/>
        <v>0</v>
      </c>
      <c r="K72" s="159">
        <f>K68-K58</f>
        <v>0</v>
      </c>
      <c r="L72" s="160">
        <f t="shared" ref="L72:N74" si="15">L68-L58+K72</f>
        <v>0</v>
      </c>
      <c r="M72" s="160">
        <f t="shared" si="15"/>
        <v>0</v>
      </c>
      <c r="N72" s="161">
        <f t="shared" si="15"/>
        <v>0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</row>
    <row r="73" spans="1:49" x14ac:dyDescent="0.25">
      <c r="A73" s="177" t="s">
        <v>32</v>
      </c>
      <c r="B73" s="182" t="s">
        <v>101</v>
      </c>
      <c r="C73" s="147">
        <f>C69-C59</f>
        <v>0</v>
      </c>
      <c r="D73" s="148">
        <f t="shared" si="13"/>
        <v>0</v>
      </c>
      <c r="E73" s="148">
        <f t="shared" si="13"/>
        <v>0</v>
      </c>
      <c r="F73" s="149">
        <f t="shared" si="13"/>
        <v>0</v>
      </c>
      <c r="G73" s="147">
        <f>G69-G59</f>
        <v>0</v>
      </c>
      <c r="H73" s="148">
        <f t="shared" si="14"/>
        <v>0</v>
      </c>
      <c r="I73" s="148">
        <f t="shared" si="14"/>
        <v>0</v>
      </c>
      <c r="J73" s="149">
        <f t="shared" si="14"/>
        <v>0</v>
      </c>
      <c r="K73" s="147">
        <f>K69-K59</f>
        <v>0</v>
      </c>
      <c r="L73" s="148">
        <f t="shared" si="15"/>
        <v>0</v>
      </c>
      <c r="M73" s="148">
        <f t="shared" si="15"/>
        <v>0</v>
      </c>
      <c r="N73" s="149">
        <f t="shared" si="15"/>
        <v>0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</row>
    <row r="74" spans="1:49" ht="15.75" thickBot="1" x14ac:dyDescent="0.3">
      <c r="A74" s="181" t="s">
        <v>33</v>
      </c>
      <c r="B74" s="51" t="s">
        <v>101</v>
      </c>
      <c r="C74" s="154">
        <f>C70-C60</f>
        <v>0</v>
      </c>
      <c r="D74" s="155">
        <f t="shared" si="13"/>
        <v>0</v>
      </c>
      <c r="E74" s="155">
        <f t="shared" si="13"/>
        <v>0</v>
      </c>
      <c r="F74" s="156">
        <f t="shared" si="13"/>
        <v>0</v>
      </c>
      <c r="G74" s="154">
        <f>G70-G60+F74</f>
        <v>0</v>
      </c>
      <c r="H74" s="155">
        <f t="shared" si="14"/>
        <v>0</v>
      </c>
      <c r="I74" s="155">
        <f t="shared" si="14"/>
        <v>0</v>
      </c>
      <c r="J74" s="156">
        <f t="shared" si="14"/>
        <v>0</v>
      </c>
      <c r="K74" s="154">
        <f>K70-K60+J74</f>
        <v>0</v>
      </c>
      <c r="L74" s="155">
        <f t="shared" si="15"/>
        <v>0</v>
      </c>
      <c r="M74" s="155">
        <f t="shared" si="15"/>
        <v>0</v>
      </c>
      <c r="N74" s="156">
        <f t="shared" si="15"/>
        <v>0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</row>
    <row r="433" spans="3:52" x14ac:dyDescent="0.25">
      <c r="C433" s="3">
        <v>20</v>
      </c>
      <c r="D433" s="3">
        <v>21</v>
      </c>
      <c r="E433" s="3">
        <v>22</v>
      </c>
      <c r="F433" s="3">
        <v>23</v>
      </c>
      <c r="G433" s="3">
        <v>24</v>
      </c>
      <c r="H433" s="3">
        <v>25</v>
      </c>
      <c r="I433" s="3">
        <v>26</v>
      </c>
      <c r="J433" s="3">
        <v>27</v>
      </c>
      <c r="K433" s="3">
        <v>28</v>
      </c>
      <c r="L433" s="3">
        <v>29</v>
      </c>
      <c r="M433" s="3">
        <v>30</v>
      </c>
      <c r="N433" s="3">
        <v>31</v>
      </c>
      <c r="O433" s="3">
        <v>32</v>
      </c>
      <c r="P433" s="3">
        <v>33</v>
      </c>
      <c r="Q433" s="3">
        <v>34</v>
      </c>
      <c r="R433" s="3">
        <v>35</v>
      </c>
      <c r="S433" s="3">
        <v>36</v>
      </c>
      <c r="T433" s="3">
        <v>37</v>
      </c>
      <c r="U433" s="3">
        <v>38</v>
      </c>
      <c r="V433" s="3">
        <v>39</v>
      </c>
      <c r="W433" s="3">
        <v>40</v>
      </c>
      <c r="X433" s="3">
        <v>41</v>
      </c>
      <c r="AY433" s="101" t="s">
        <v>60</v>
      </c>
      <c r="AZ433" s="101" t="s">
        <v>58</v>
      </c>
    </row>
  </sheetData>
  <sheetProtection algorithmName="SHA-512" hashValue="JyT3nzPStoznxoe6MWKJ76c76vrZill0bzofrX0Bkx2xKPodgOkgT+4DujIpUopUhPyJciWuqDl38zsBWKnvnQ==" saltValue="2JU55Qm/aD4AGNrvRr72Mw==" spinCount="100000" sheet="1" objects="1" scenarios="1"/>
  <mergeCells count="33">
    <mergeCell ref="A55:A56"/>
    <mergeCell ref="B55:B56"/>
    <mergeCell ref="C55:F55"/>
    <mergeCell ref="G55:J55"/>
    <mergeCell ref="I40:L40"/>
    <mergeCell ref="K55:N55"/>
    <mergeCell ref="W40:W41"/>
    <mergeCell ref="H40:H41"/>
    <mergeCell ref="A48:A49"/>
    <mergeCell ref="B48:B49"/>
    <mergeCell ref="C48:C49"/>
    <mergeCell ref="D48:G48"/>
    <mergeCell ref="N40:Q40"/>
    <mergeCell ref="R40:R41"/>
    <mergeCell ref="S40:V40"/>
    <mergeCell ref="A40:A41"/>
    <mergeCell ref="B40:B41"/>
    <mergeCell ref="C40:C41"/>
    <mergeCell ref="D40:G40"/>
    <mergeCell ref="M40:M41"/>
    <mergeCell ref="AH40:AK40"/>
    <mergeCell ref="X40:AA40"/>
    <mergeCell ref="AB40:AB41"/>
    <mergeCell ref="AC40:AF40"/>
    <mergeCell ref="AG40:AG41"/>
    <mergeCell ref="M19:M20"/>
    <mergeCell ref="N19:Q19"/>
    <mergeCell ref="I19:L19"/>
    <mergeCell ref="H19:H20"/>
    <mergeCell ref="A19:A20"/>
    <mergeCell ref="B19:B20"/>
    <mergeCell ref="D19:G19"/>
    <mergeCell ref="C19:C20"/>
  </mergeCells>
  <phoneticPr fontId="17" type="noConversion"/>
  <dataValidations count="4">
    <dataValidation type="list" allowBlank="1" showInputMessage="1" showErrorMessage="1" sqref="I1">
      <formula1>Продукт</formula1>
      <formula2>0</formula2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I14:L15 D50:G50 I11:L12 D21 D14:G15 N11:Q12 D11:G12 N22:Q31 I22:L31 D22:G31 N14:Q15">
      <formula1>-1000000000</formula1>
    </dataValidation>
    <dataValidation type="decimal" operator="greaterThan" allowBlank="1" showInputMessage="1" showErrorMessage="1" sqref="D42:G42">
      <formula1>-1000000000000</formula1>
    </dataValidation>
    <dataValidation type="decimal" operator="greaterThan" allowBlank="1" showInputMessage="1" showErrorMessage="1" sqref="N42:Q42 I42:L42 S42:V42">
      <formula1>-100000000000</formula1>
    </dataValidation>
  </dataValidations>
  <pageMargins left="0.7" right="0.7" top="0.75" bottom="0.75" header="0.51180555555555496" footer="0.51180555555555496"/>
  <pageSetup paperSize="9" firstPageNumber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</sheetPr>
  <dimension ref="A1:IV177"/>
  <sheetViews>
    <sheetView showGridLines="0" zoomScaleNormal="100" workbookViewId="0">
      <pane xSplit="2" ySplit="8" topLeftCell="L33" activePane="bottomRight" state="frozen"/>
      <selection pane="topRight" activeCell="C1" sqref="C1"/>
      <selection pane="bottomLeft" activeCell="A9" sqref="A9"/>
      <selection pane="bottomRight" activeCell="M45" sqref="M45"/>
    </sheetView>
  </sheetViews>
  <sheetFormatPr defaultColWidth="8.5703125" defaultRowHeight="15" outlineLevelRow="1" x14ac:dyDescent="0.25"/>
  <cols>
    <col min="1" max="1" width="51.85546875" style="8" customWidth="1"/>
    <col min="2" max="2" width="12.7109375" style="17" customWidth="1"/>
    <col min="3" max="17" width="13.85546875" style="17" customWidth="1"/>
    <col min="18" max="18" width="9.42578125" customWidth="1"/>
    <col min="19" max="19" width="35.140625" customWidth="1"/>
    <col min="20" max="20" width="10.42578125" customWidth="1"/>
  </cols>
  <sheetData>
    <row r="1" spans="1:256" ht="15" customHeight="1" outlineLevel="1" x14ac:dyDescent="0.25">
      <c r="A1" s="12"/>
      <c r="B1" s="13" t="s">
        <v>10</v>
      </c>
      <c r="R1" s="3"/>
    </row>
    <row r="2" spans="1:256" ht="15" customHeight="1" outlineLevel="1" x14ac:dyDescent="0.25">
      <c r="A2" s="11" t="s">
        <v>9</v>
      </c>
      <c r="B2" s="323"/>
    </row>
    <row r="3" spans="1:256" ht="15" customHeight="1" outlineLevel="1" x14ac:dyDescent="0.25">
      <c r="A3" s="11" t="s">
        <v>56</v>
      </c>
      <c r="B3" s="227"/>
    </row>
    <row r="4" spans="1:256" ht="15" customHeight="1" outlineLevel="1" x14ac:dyDescent="0.25">
      <c r="A4" s="11" t="s">
        <v>54</v>
      </c>
      <c r="B4" s="36"/>
    </row>
    <row r="5" spans="1:256" ht="15" customHeight="1" outlineLevel="1" x14ac:dyDescent="0.25">
      <c r="A5" s="11" t="s">
        <v>55</v>
      </c>
      <c r="B5" s="322"/>
      <c r="E5" s="33"/>
      <c r="F5" s="33"/>
      <c r="L5" s="33"/>
    </row>
    <row r="6" spans="1:256" ht="15" customHeight="1" thickBot="1" x14ac:dyDescent="0.3">
      <c r="R6" s="10"/>
      <c r="S6" s="10"/>
      <c r="T6" s="10"/>
      <c r="U6" s="10"/>
    </row>
    <row r="7" spans="1:256" ht="15" customHeight="1" x14ac:dyDescent="0.25">
      <c r="A7" s="384" t="s">
        <v>15</v>
      </c>
      <c r="B7" s="386" t="s">
        <v>34</v>
      </c>
      <c r="C7" s="383" t="str">
        <f>YEAR(Date)&amp;" год"</f>
        <v>2019 год</v>
      </c>
      <c r="D7" s="365"/>
      <c r="E7" s="365"/>
      <c r="F7" s="368"/>
      <c r="G7" s="362" t="str">
        <f>C7</f>
        <v>2019 год</v>
      </c>
      <c r="H7" s="383" t="str">
        <f>(LEFT(C7,4)+1)&amp;" год"</f>
        <v>2020 год</v>
      </c>
      <c r="I7" s="365"/>
      <c r="J7" s="365"/>
      <c r="K7" s="368"/>
      <c r="L7" s="362" t="str">
        <f>H7</f>
        <v>2020 год</v>
      </c>
      <c r="M7" s="383" t="str">
        <f>(LEFT(H7,4)+1)&amp;" год"</f>
        <v>2021 год</v>
      </c>
      <c r="N7" s="365"/>
      <c r="O7" s="365"/>
      <c r="P7" s="368"/>
      <c r="Q7" s="362" t="str">
        <f>M7</f>
        <v>2021 год</v>
      </c>
      <c r="R7" s="10"/>
      <c r="S7" s="10"/>
      <c r="T7" s="10"/>
      <c r="U7" s="10"/>
    </row>
    <row r="8" spans="1:256" ht="15" customHeight="1" thickBot="1" x14ac:dyDescent="0.3">
      <c r="A8" s="385"/>
      <c r="B8" s="387"/>
      <c r="C8" s="328" t="s">
        <v>0</v>
      </c>
      <c r="D8" s="329" t="s">
        <v>1</v>
      </c>
      <c r="E8" s="329" t="s">
        <v>2</v>
      </c>
      <c r="F8" s="330" t="s">
        <v>3</v>
      </c>
      <c r="G8" s="363"/>
      <c r="H8" s="328" t="s">
        <v>0</v>
      </c>
      <c r="I8" s="329" t="s">
        <v>1</v>
      </c>
      <c r="J8" s="329" t="s">
        <v>2</v>
      </c>
      <c r="K8" s="330" t="s">
        <v>3</v>
      </c>
      <c r="L8" s="363"/>
      <c r="M8" s="328" t="s">
        <v>0</v>
      </c>
      <c r="N8" s="329" t="s">
        <v>1</v>
      </c>
      <c r="O8" s="329" t="s">
        <v>2</v>
      </c>
      <c r="P8" s="330" t="s">
        <v>3</v>
      </c>
      <c r="Q8" s="363"/>
      <c r="R8" s="10"/>
      <c r="S8" s="10"/>
      <c r="T8" s="10"/>
      <c r="U8" s="10"/>
    </row>
    <row r="9" spans="1:256" s="7" customFormat="1" ht="15" customHeight="1" x14ac:dyDescent="0.25">
      <c r="A9" s="255" t="s">
        <v>36</v>
      </c>
      <c r="B9" s="256" t="s">
        <v>101</v>
      </c>
      <c r="C9" s="270">
        <f>ROUND(G9,3)</f>
        <v>3.6</v>
      </c>
      <c r="D9" s="271">
        <f>ROUND(C47,3)</f>
        <v>3.6</v>
      </c>
      <c r="E9" s="271">
        <f>ROUND(D47,3)</f>
        <v>3.6</v>
      </c>
      <c r="F9" s="272">
        <f>ROUND(E47,3)</f>
        <v>3.6</v>
      </c>
      <c r="G9" s="115">
        <f>ROUND('1. Статистика'!AK42,3)</f>
        <v>3.6</v>
      </c>
      <c r="H9" s="270">
        <f>ROUND(L9,3)</f>
        <v>3.6</v>
      </c>
      <c r="I9" s="271">
        <f>ROUND(H47,3)</f>
        <v>3.6</v>
      </c>
      <c r="J9" s="271">
        <f>ROUND(I47,3)</f>
        <v>3.6</v>
      </c>
      <c r="K9" s="272">
        <f>ROUND(J47,3)</f>
        <v>3.6</v>
      </c>
      <c r="L9" s="115">
        <f>ROUND(F47,3)</f>
        <v>3.6</v>
      </c>
      <c r="M9" s="270">
        <f>ROUND(Q9,3)</f>
        <v>3.6</v>
      </c>
      <c r="N9" s="271">
        <f>ROUND(M47,3)</f>
        <v>3.6</v>
      </c>
      <c r="O9" s="271">
        <f>ROUND(N47,3)</f>
        <v>3.6</v>
      </c>
      <c r="P9" s="272">
        <f>ROUND(O47,3)</f>
        <v>3.6</v>
      </c>
      <c r="Q9" s="115">
        <f>ROUND(K47,3)</f>
        <v>3.6</v>
      </c>
      <c r="R9" s="10"/>
      <c r="S9" s="10"/>
      <c r="T9" s="10"/>
      <c r="U9" s="10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</row>
    <row r="10" spans="1:256" s="10" customFormat="1" ht="16.350000000000001" customHeight="1" x14ac:dyDescent="0.25">
      <c r="A10" s="257" t="s">
        <v>103</v>
      </c>
      <c r="B10" s="258" t="s">
        <v>101</v>
      </c>
      <c r="C10" s="273">
        <f>ROUND(C11+C16,3)</f>
        <v>0</v>
      </c>
      <c r="D10" s="274">
        <f>ROUND(D11+D16,3)</f>
        <v>0</v>
      </c>
      <c r="E10" s="274">
        <f>ROUND(E11+E16,3)</f>
        <v>0</v>
      </c>
      <c r="F10" s="275">
        <f>ROUND(F11+F16,3)</f>
        <v>0</v>
      </c>
      <c r="G10" s="117">
        <f>ROUND(SUM(C10:F10),3)</f>
        <v>0</v>
      </c>
      <c r="H10" s="273">
        <f>ROUND(H11+H16,3)</f>
        <v>0</v>
      </c>
      <c r="I10" s="274">
        <f>ROUND(I11+I16,3)</f>
        <v>0</v>
      </c>
      <c r="J10" s="274">
        <f>ROUND(J11+J16,3)</f>
        <v>0</v>
      </c>
      <c r="K10" s="275">
        <f>ROUND(K11+K16,3)</f>
        <v>0</v>
      </c>
      <c r="L10" s="117">
        <f>ROUND(SUM(H10:K10),3)</f>
        <v>0</v>
      </c>
      <c r="M10" s="273">
        <f>ROUND(M11+M16,3)</f>
        <v>0</v>
      </c>
      <c r="N10" s="274">
        <f>ROUND(N11+N16,3)</f>
        <v>0</v>
      </c>
      <c r="O10" s="274">
        <f>ROUND(O11+O16,3)</f>
        <v>0</v>
      </c>
      <c r="P10" s="275">
        <f>ROUND(P11+P16,3)</f>
        <v>0</v>
      </c>
      <c r="Q10" s="117">
        <f>ROUND(SUM(M10:P10),3)</f>
        <v>0</v>
      </c>
    </row>
    <row r="11" spans="1:256" s="10" customFormat="1" ht="15" customHeight="1" x14ac:dyDescent="0.25">
      <c r="A11" s="259" t="s">
        <v>78</v>
      </c>
      <c r="B11" s="258" t="s">
        <v>101</v>
      </c>
      <c r="C11" s="273">
        <f t="shared" ref="C11:Q11" si="0">ROUND(C12+C13-C14+C15,3)</f>
        <v>0</v>
      </c>
      <c r="D11" s="274">
        <f t="shared" si="0"/>
        <v>0</v>
      </c>
      <c r="E11" s="274">
        <f t="shared" si="0"/>
        <v>0</v>
      </c>
      <c r="F11" s="275">
        <f t="shared" si="0"/>
        <v>0</v>
      </c>
      <c r="G11" s="117">
        <f t="shared" si="0"/>
        <v>0</v>
      </c>
      <c r="H11" s="273">
        <f t="shared" si="0"/>
        <v>0</v>
      </c>
      <c r="I11" s="274">
        <f t="shared" si="0"/>
        <v>0</v>
      </c>
      <c r="J11" s="274">
        <f t="shared" si="0"/>
        <v>0</v>
      </c>
      <c r="K11" s="275">
        <f t="shared" si="0"/>
        <v>0</v>
      </c>
      <c r="L11" s="117">
        <f t="shared" si="0"/>
        <v>0</v>
      </c>
      <c r="M11" s="273">
        <f t="shared" si="0"/>
        <v>0</v>
      </c>
      <c r="N11" s="274">
        <f t="shared" si="0"/>
        <v>0</v>
      </c>
      <c r="O11" s="274">
        <f t="shared" si="0"/>
        <v>0</v>
      </c>
      <c r="P11" s="275">
        <f t="shared" si="0"/>
        <v>0</v>
      </c>
      <c r="Q11" s="117">
        <f t="shared" si="0"/>
        <v>0</v>
      </c>
    </row>
    <row r="12" spans="1:256" s="73" customFormat="1" ht="30" outlineLevel="1" x14ac:dyDescent="0.25">
      <c r="A12" s="80" t="s">
        <v>41</v>
      </c>
      <c r="B12" s="223" t="s">
        <v>101</v>
      </c>
      <c r="C12" s="118">
        <f>ROUND('1. Статистика'!N22,3)</f>
        <v>0</v>
      </c>
      <c r="D12" s="119">
        <f>ROUND('1. Статистика'!O22,3)</f>
        <v>0</v>
      </c>
      <c r="E12" s="119">
        <f>ROUND('1. Статистика'!P22,3)</f>
        <v>0</v>
      </c>
      <c r="F12" s="120">
        <f>ROUND('1. Статистика'!Q22,3)</f>
        <v>0</v>
      </c>
      <c r="G12" s="121">
        <f>ROUND(SUM(C12:F12),3)</f>
        <v>0</v>
      </c>
      <c r="H12" s="118">
        <f>ROUND(C11,3)</f>
        <v>0</v>
      </c>
      <c r="I12" s="119">
        <f>ROUND(D11,3)</f>
        <v>0</v>
      </c>
      <c r="J12" s="119">
        <f>ROUND(E11,3)</f>
        <v>0</v>
      </c>
      <c r="K12" s="120">
        <f>ROUND(F11,3)</f>
        <v>0</v>
      </c>
      <c r="L12" s="121">
        <f>ROUND(SUM(H12:K12),3)</f>
        <v>0</v>
      </c>
      <c r="M12" s="118">
        <f>ROUND(H11,3)</f>
        <v>0</v>
      </c>
      <c r="N12" s="119">
        <f>ROUND(I11,3)</f>
        <v>0</v>
      </c>
      <c r="O12" s="119">
        <f>ROUND(J11,3)</f>
        <v>0</v>
      </c>
      <c r="P12" s="120">
        <f>ROUND(K11,3)</f>
        <v>0</v>
      </c>
      <c r="Q12" s="121">
        <f>ROUND(SUM(M12:P12),3)</f>
        <v>0</v>
      </c>
    </row>
    <row r="13" spans="1:256" s="73" customFormat="1" ht="28.5" customHeight="1" outlineLevel="1" x14ac:dyDescent="0.25">
      <c r="A13" s="80" t="s">
        <v>42</v>
      </c>
      <c r="B13" s="223" t="s">
        <v>101</v>
      </c>
      <c r="C13" s="118">
        <f>ROUND('1. Статистика'!D11,3)</f>
        <v>0</v>
      </c>
      <c r="D13" s="119">
        <f>ROUND('1. Статистика'!E11,3)</f>
        <v>0</v>
      </c>
      <c r="E13" s="119">
        <f>ROUND('1. Статистика'!F11,3)</f>
        <v>0</v>
      </c>
      <c r="F13" s="120">
        <f>ROUND('1. Статистика'!G11,3)</f>
        <v>0</v>
      </c>
      <c r="G13" s="121">
        <f>ROUND(SUM(C13:F13),3)</f>
        <v>0</v>
      </c>
      <c r="H13" s="118">
        <f>ROUND('1. Статистика'!I11,3)</f>
        <v>0</v>
      </c>
      <c r="I13" s="119">
        <f>ROUND('1. Статистика'!J11,3)</f>
        <v>0</v>
      </c>
      <c r="J13" s="119">
        <f>ROUND('1. Статистика'!K11,3)</f>
        <v>0</v>
      </c>
      <c r="K13" s="120">
        <f>ROUND('1. Статистика'!L11,3)</f>
        <v>0</v>
      </c>
      <c r="L13" s="121">
        <f>ROUND(SUM(H13:K13),3)</f>
        <v>0</v>
      </c>
      <c r="M13" s="118">
        <f>ROUND('1. Статистика'!N11,3)</f>
        <v>0</v>
      </c>
      <c r="N13" s="119">
        <f>ROUND('1. Статистика'!O11,3)</f>
        <v>0</v>
      </c>
      <c r="O13" s="119">
        <f>ROUND('1. Статистика'!P11,3)</f>
        <v>0</v>
      </c>
      <c r="P13" s="120">
        <f>ROUND('1. Статистика'!Q11,3)</f>
        <v>0</v>
      </c>
      <c r="Q13" s="121">
        <f>ROUND(SUM(M13:P13),3)</f>
        <v>0</v>
      </c>
    </row>
    <row r="14" spans="1:256" s="73" customFormat="1" ht="30" outlineLevel="1" x14ac:dyDescent="0.25">
      <c r="A14" s="80" t="s">
        <v>43</v>
      </c>
      <c r="B14" s="223" t="s">
        <v>101</v>
      </c>
      <c r="C14" s="302"/>
      <c r="D14" s="303"/>
      <c r="E14" s="303"/>
      <c r="F14" s="304"/>
      <c r="G14" s="121">
        <f>ROUND(SUM(C14:F14),3)</f>
        <v>0</v>
      </c>
      <c r="H14" s="302"/>
      <c r="I14" s="303"/>
      <c r="J14" s="303"/>
      <c r="K14" s="304"/>
      <c r="L14" s="121">
        <f>ROUND(SUM(H14:K14),3)</f>
        <v>0</v>
      </c>
      <c r="M14" s="302"/>
      <c r="N14" s="303"/>
      <c r="O14" s="303"/>
      <c r="P14" s="304"/>
      <c r="Q14" s="121">
        <f>ROUND(SUM(M14:P14),3)</f>
        <v>0</v>
      </c>
    </row>
    <row r="15" spans="1:256" s="73" customFormat="1" ht="30" outlineLevel="1" x14ac:dyDescent="0.25">
      <c r="A15" s="80" t="s">
        <v>44</v>
      </c>
      <c r="B15" s="223" t="s">
        <v>101</v>
      </c>
      <c r="C15" s="127"/>
      <c r="D15" s="128"/>
      <c r="E15" s="128"/>
      <c r="F15" s="128"/>
      <c r="G15" s="121">
        <f>ROUND(SUM(C15:F15),3)</f>
        <v>0</v>
      </c>
      <c r="H15" s="127"/>
      <c r="I15" s="128"/>
      <c r="J15" s="128"/>
      <c r="K15" s="128"/>
      <c r="L15" s="121">
        <f>ROUND(SUM(H15:K15),3)</f>
        <v>0</v>
      </c>
      <c r="M15" s="127"/>
      <c r="N15" s="128"/>
      <c r="O15" s="128"/>
      <c r="P15" s="128"/>
      <c r="Q15" s="121">
        <f>ROUND(SUM(M15:P15),3)</f>
        <v>0</v>
      </c>
    </row>
    <row r="16" spans="1:256" s="9" customFormat="1" ht="15" customHeight="1" x14ac:dyDescent="0.25">
      <c r="A16" s="259" t="s">
        <v>82</v>
      </c>
      <c r="B16" s="258" t="s">
        <v>101</v>
      </c>
      <c r="C16" s="273">
        <f t="shared" ref="C16:Q16" si="1">ROUND(C17+C18-C19+C20,3)</f>
        <v>0</v>
      </c>
      <c r="D16" s="273">
        <f t="shared" si="1"/>
        <v>0</v>
      </c>
      <c r="E16" s="273">
        <f t="shared" si="1"/>
        <v>0</v>
      </c>
      <c r="F16" s="273">
        <f t="shared" si="1"/>
        <v>0</v>
      </c>
      <c r="G16" s="116">
        <f t="shared" si="1"/>
        <v>0</v>
      </c>
      <c r="H16" s="273">
        <f t="shared" si="1"/>
        <v>0</v>
      </c>
      <c r="I16" s="273">
        <f t="shared" si="1"/>
        <v>0</v>
      </c>
      <c r="J16" s="273">
        <f t="shared" si="1"/>
        <v>0</v>
      </c>
      <c r="K16" s="273">
        <f t="shared" si="1"/>
        <v>0</v>
      </c>
      <c r="L16" s="116">
        <f t="shared" si="1"/>
        <v>0</v>
      </c>
      <c r="M16" s="273">
        <f t="shared" si="1"/>
        <v>0</v>
      </c>
      <c r="N16" s="273">
        <f t="shared" si="1"/>
        <v>0</v>
      </c>
      <c r="O16" s="273">
        <f t="shared" si="1"/>
        <v>0</v>
      </c>
      <c r="P16" s="287">
        <f t="shared" si="1"/>
        <v>0</v>
      </c>
      <c r="Q16" s="117">
        <f t="shared" si="1"/>
        <v>0</v>
      </c>
    </row>
    <row r="17" spans="1:22" s="73" customFormat="1" ht="30" outlineLevel="1" x14ac:dyDescent="0.25">
      <c r="A17" s="80" t="s">
        <v>41</v>
      </c>
      <c r="B17" s="223" t="s">
        <v>101</v>
      </c>
      <c r="C17" s="118">
        <f>ROUND('1. Статистика'!N23,3)</f>
        <v>0</v>
      </c>
      <c r="D17" s="119">
        <f>ROUND('1. Статистика'!O23,3)</f>
        <v>0</v>
      </c>
      <c r="E17" s="119">
        <f>ROUND('1. Статистика'!P23,3)</f>
        <v>0</v>
      </c>
      <c r="F17" s="120">
        <f>ROUND('1. Статистика'!Q23,3)</f>
        <v>0</v>
      </c>
      <c r="G17" s="121">
        <f>ROUND(SUM(C17:F17),3)</f>
        <v>0</v>
      </c>
      <c r="H17" s="118">
        <f>ROUND(C16,3)</f>
        <v>0</v>
      </c>
      <c r="I17" s="119">
        <f>ROUND(D16,3)</f>
        <v>0</v>
      </c>
      <c r="J17" s="119">
        <f>ROUND(E16,3)</f>
        <v>0</v>
      </c>
      <c r="K17" s="120">
        <f>ROUND(F16,3)</f>
        <v>0</v>
      </c>
      <c r="L17" s="121">
        <f>ROUND(SUM(H17:K17),3)</f>
        <v>0</v>
      </c>
      <c r="M17" s="118">
        <f>ROUND(H16,3)</f>
        <v>0</v>
      </c>
      <c r="N17" s="119">
        <f>ROUND(I16,3)</f>
        <v>0</v>
      </c>
      <c r="O17" s="119">
        <f>ROUND(J16,3)</f>
        <v>0</v>
      </c>
      <c r="P17" s="120">
        <f>ROUND(K16,3)</f>
        <v>0</v>
      </c>
      <c r="Q17" s="121">
        <f>ROUND(SUM(M17:P17),3)</f>
        <v>0</v>
      </c>
    </row>
    <row r="18" spans="1:22" s="73" customFormat="1" ht="28.5" customHeight="1" outlineLevel="1" x14ac:dyDescent="0.25">
      <c r="A18" s="80" t="s">
        <v>42</v>
      </c>
      <c r="B18" s="223" t="s">
        <v>101</v>
      </c>
      <c r="C18" s="118">
        <f>ROUND('1. Статистика'!D12,3)</f>
        <v>0</v>
      </c>
      <c r="D18" s="119">
        <f>ROUND('1. Статистика'!E12,3)</f>
        <v>0</v>
      </c>
      <c r="E18" s="119">
        <f>ROUND('1. Статистика'!F12,3)</f>
        <v>0</v>
      </c>
      <c r="F18" s="120">
        <f>ROUND('1. Статистика'!G12,3)</f>
        <v>0</v>
      </c>
      <c r="G18" s="121">
        <f>ROUND(SUM(C18:F18),3)</f>
        <v>0</v>
      </c>
      <c r="H18" s="118">
        <f>ROUND('1. Статистика'!I12,3)</f>
        <v>0</v>
      </c>
      <c r="I18" s="119">
        <f>ROUND('1. Статистика'!J12,3)</f>
        <v>0</v>
      </c>
      <c r="J18" s="119">
        <f>ROUND('1. Статистика'!K12,3)</f>
        <v>0</v>
      </c>
      <c r="K18" s="120">
        <f>ROUND('1. Статистика'!L12,3)</f>
        <v>0</v>
      </c>
      <c r="L18" s="121">
        <f>ROUND(SUM(H18:K18),3)</f>
        <v>0</v>
      </c>
      <c r="M18" s="118">
        <f>ROUND('1. Статистика'!N12,3)</f>
        <v>0</v>
      </c>
      <c r="N18" s="119">
        <f>ROUND('1. Статистика'!O12,3)</f>
        <v>0</v>
      </c>
      <c r="O18" s="119">
        <f>ROUND('1. Статистика'!P12,3)</f>
        <v>0</v>
      </c>
      <c r="P18" s="120">
        <f>ROUND('1. Статистика'!Q12,3)</f>
        <v>0</v>
      </c>
      <c r="Q18" s="121">
        <f>ROUND(SUM(M18:P18),3)</f>
        <v>0</v>
      </c>
    </row>
    <row r="19" spans="1:22" s="73" customFormat="1" ht="30" outlineLevel="1" x14ac:dyDescent="0.25">
      <c r="A19" s="80" t="s">
        <v>43</v>
      </c>
      <c r="B19" s="223" t="s">
        <v>101</v>
      </c>
      <c r="C19" s="302"/>
      <c r="D19" s="303"/>
      <c r="E19" s="303"/>
      <c r="F19" s="304"/>
      <c r="G19" s="121">
        <f>ROUND(SUM(C19:F19),3)</f>
        <v>0</v>
      </c>
      <c r="H19" s="302"/>
      <c r="I19" s="303"/>
      <c r="J19" s="303"/>
      <c r="K19" s="304"/>
      <c r="L19" s="121">
        <f>ROUND(SUM(H19:K19),3)</f>
        <v>0</v>
      </c>
      <c r="M19" s="302"/>
      <c r="N19" s="303"/>
      <c r="O19" s="303"/>
      <c r="P19" s="304"/>
      <c r="Q19" s="121">
        <f>ROUND(SUM(M19:P19),3)</f>
        <v>0</v>
      </c>
    </row>
    <row r="20" spans="1:22" s="73" customFormat="1" ht="30" outlineLevel="1" x14ac:dyDescent="0.25">
      <c r="A20" s="80" t="s">
        <v>44</v>
      </c>
      <c r="B20" s="223" t="s">
        <v>101</v>
      </c>
      <c r="C20" s="127"/>
      <c r="D20" s="128"/>
      <c r="E20" s="128"/>
      <c r="F20" s="128"/>
      <c r="G20" s="121">
        <f>ROUND(SUM(C20:F20),3)</f>
        <v>0</v>
      </c>
      <c r="H20" s="127"/>
      <c r="I20" s="128"/>
      <c r="J20" s="128"/>
      <c r="K20" s="128"/>
      <c r="L20" s="121">
        <f>ROUND(SUM(H20:K20),3)</f>
        <v>0</v>
      </c>
      <c r="M20" s="127"/>
      <c r="N20" s="128"/>
      <c r="O20" s="128"/>
      <c r="P20" s="128"/>
      <c r="Q20" s="121">
        <f>ROUND(SUM(M20:P20),3)</f>
        <v>0</v>
      </c>
    </row>
    <row r="21" spans="1:22" s="9" customFormat="1" outlineLevel="1" x14ac:dyDescent="0.25">
      <c r="A21" s="157" t="s">
        <v>75</v>
      </c>
      <c r="B21" s="224" t="s">
        <v>101</v>
      </c>
      <c r="C21" s="221"/>
      <c r="D21" s="222"/>
      <c r="E21" s="222"/>
      <c r="F21" s="222"/>
      <c r="G21" s="122">
        <f>ROUND(SUM(C21:F21),3)</f>
        <v>0</v>
      </c>
      <c r="H21" s="221"/>
      <c r="I21" s="222"/>
      <c r="J21" s="222"/>
      <c r="K21" s="222"/>
      <c r="L21" s="122">
        <f>ROUND(SUM(H21:K21),3)</f>
        <v>0</v>
      </c>
      <c r="M21" s="221"/>
      <c r="N21" s="222"/>
      <c r="O21" s="222"/>
      <c r="P21" s="222"/>
      <c r="Q21" s="122">
        <f>ROUND(SUM(M21:P21),3)</f>
        <v>0</v>
      </c>
    </row>
    <row r="22" spans="1:22" s="9" customFormat="1" outlineLevel="1" x14ac:dyDescent="0.25">
      <c r="A22" s="157" t="s">
        <v>113</v>
      </c>
      <c r="B22" s="224" t="s">
        <v>102</v>
      </c>
      <c r="C22" s="276"/>
      <c r="D22" s="277"/>
      <c r="E22" s="277"/>
      <c r="F22" s="278"/>
      <c r="G22" s="158">
        <f>ROUND(IFERROR(G11/G21,0),3)</f>
        <v>0</v>
      </c>
      <c r="H22" s="276"/>
      <c r="I22" s="277"/>
      <c r="J22" s="277"/>
      <c r="K22" s="278"/>
      <c r="L22" s="158">
        <f>ROUND(IFERROR(L11/L21,0),3)</f>
        <v>0</v>
      </c>
      <c r="M22" s="276"/>
      <c r="N22" s="277"/>
      <c r="O22" s="277"/>
      <c r="P22" s="278"/>
      <c r="Q22" s="158">
        <f>ROUND(IFERROR(Q11/Q21,0),3)</f>
        <v>0</v>
      </c>
      <c r="R22" s="73"/>
      <c r="S22" s="73"/>
      <c r="T22" s="73"/>
      <c r="U22" s="73"/>
      <c r="V22" s="73"/>
    </row>
    <row r="23" spans="1:22" s="10" customFormat="1" ht="15" customHeight="1" collapsed="1" x14ac:dyDescent="0.25">
      <c r="A23" s="257" t="s">
        <v>37</v>
      </c>
      <c r="B23" s="258" t="s">
        <v>101</v>
      </c>
      <c r="C23" s="273">
        <f>ROUND(C24+C25,3)</f>
        <v>12.368</v>
      </c>
      <c r="D23" s="274">
        <f>ROUND(D24+D25,3)</f>
        <v>11.233000000000001</v>
      </c>
      <c r="E23" s="274">
        <f>ROUND(E24+E25,3)</f>
        <v>11.75</v>
      </c>
      <c r="F23" s="275">
        <f>ROUND(F24+F25,3)</f>
        <v>11.388</v>
      </c>
      <c r="G23" s="117">
        <f>ROUND(SUM(G24:G25),3)</f>
        <v>46.738999999999997</v>
      </c>
      <c r="H23" s="273">
        <f>ROUND(H24+H25,3)</f>
        <v>12.448</v>
      </c>
      <c r="I23" s="274">
        <f>ROUND(I24+I25,3)</f>
        <v>11.233000000000001</v>
      </c>
      <c r="J23" s="274">
        <f>ROUND(J24+J25,3)</f>
        <v>11.75</v>
      </c>
      <c r="K23" s="275">
        <f>ROUND(K24+K25,3)</f>
        <v>11.388</v>
      </c>
      <c r="L23" s="117">
        <f>ROUND(SUM(L24:L25),3)</f>
        <v>46.819000000000003</v>
      </c>
      <c r="M23" s="273">
        <f>ROUND(M24+M25,3)</f>
        <v>12.448</v>
      </c>
      <c r="N23" s="274">
        <f>ROUND(N24+N25,3)</f>
        <v>11.233000000000001</v>
      </c>
      <c r="O23" s="274">
        <f>ROUND(O24+O25,3)</f>
        <v>11.75</v>
      </c>
      <c r="P23" s="275">
        <f>ROUND(P24+P25,3)</f>
        <v>11.388</v>
      </c>
      <c r="Q23" s="117">
        <f>ROUND(SUM(Q24:Q25),3)</f>
        <v>46.819000000000003</v>
      </c>
      <c r="R23" s="73"/>
      <c r="S23" s="73"/>
      <c r="T23" s="73"/>
      <c r="U23" s="73"/>
      <c r="V23" s="73"/>
    </row>
    <row r="24" spans="1:22" s="9" customFormat="1" ht="13.7" customHeight="1" x14ac:dyDescent="0.25">
      <c r="A24" s="220" t="s">
        <v>38</v>
      </c>
      <c r="B24" s="223" t="s">
        <v>101</v>
      </c>
      <c r="C24" s="118">
        <f>ROUND('1. Статистика'!N24,3)</f>
        <v>12.368</v>
      </c>
      <c r="D24" s="119">
        <f>ROUND('1. Статистика'!O24,3)</f>
        <v>11.003</v>
      </c>
      <c r="E24" s="119">
        <f>ROUND('1. Статистика'!P24,3)</f>
        <v>11.55</v>
      </c>
      <c r="F24" s="120">
        <f>ROUND('1. Статистика'!Q24,3)</f>
        <v>11.278</v>
      </c>
      <c r="G24" s="121">
        <f>ROUND(SUM(C24:F24),3)</f>
        <v>46.198999999999998</v>
      </c>
      <c r="H24" s="118">
        <f>ROUND(C23,3)</f>
        <v>12.368</v>
      </c>
      <c r="I24" s="118">
        <f>ROUND(D23,3)</f>
        <v>11.233000000000001</v>
      </c>
      <c r="J24" s="118">
        <f>ROUND(E23,3)</f>
        <v>11.75</v>
      </c>
      <c r="K24" s="118">
        <f>ROUND(F23,3)</f>
        <v>11.388</v>
      </c>
      <c r="L24" s="121">
        <f>ROUND(SUM(H24:K24),3)</f>
        <v>46.738999999999997</v>
      </c>
      <c r="M24" s="118">
        <f>ROUND(H23,3)</f>
        <v>12.448</v>
      </c>
      <c r="N24" s="119">
        <f>ROUND(I23,3)</f>
        <v>11.233000000000001</v>
      </c>
      <c r="O24" s="119">
        <f>ROUND(J23,3)</f>
        <v>11.75</v>
      </c>
      <c r="P24" s="120">
        <f>ROUND(K23,3)</f>
        <v>11.388</v>
      </c>
      <c r="Q24" s="121">
        <f>ROUND(SUM(M24:P24),3)</f>
        <v>46.819000000000003</v>
      </c>
      <c r="R24" s="73"/>
      <c r="S24" s="73"/>
      <c r="T24" s="73"/>
      <c r="U24" s="73"/>
      <c r="V24" s="73"/>
    </row>
    <row r="25" spans="1:22" s="9" customFormat="1" ht="13.7" customHeight="1" x14ac:dyDescent="0.25">
      <c r="A25" s="220" t="s">
        <v>39</v>
      </c>
      <c r="B25" s="223" t="s">
        <v>101</v>
      </c>
      <c r="C25" s="127">
        <v>0</v>
      </c>
      <c r="D25" s="127">
        <v>0.23</v>
      </c>
      <c r="E25" s="127">
        <v>0.2</v>
      </c>
      <c r="F25" s="127">
        <v>0.11</v>
      </c>
      <c r="G25" s="121">
        <f>ROUND(SUM(C25:F25),3)</f>
        <v>0.54</v>
      </c>
      <c r="H25" s="127">
        <v>0.08</v>
      </c>
      <c r="I25" s="127">
        <v>0</v>
      </c>
      <c r="J25" s="127">
        <v>0</v>
      </c>
      <c r="K25" s="127">
        <v>0</v>
      </c>
      <c r="L25" s="121">
        <f>ROUND(SUM(H25:K25),3)</f>
        <v>0.08</v>
      </c>
      <c r="M25" s="127">
        <v>0</v>
      </c>
      <c r="N25" s="127">
        <v>0</v>
      </c>
      <c r="O25" s="127">
        <v>0</v>
      </c>
      <c r="P25" s="146">
        <v>0</v>
      </c>
      <c r="Q25" s="121">
        <f>ROUND(SUM(M25:P25),3)</f>
        <v>0</v>
      </c>
      <c r="R25" s="73"/>
      <c r="S25" s="73"/>
      <c r="T25" s="73"/>
      <c r="U25" s="73"/>
      <c r="V25" s="73"/>
    </row>
    <row r="26" spans="1:22" ht="15" customHeight="1" collapsed="1" x14ac:dyDescent="0.25">
      <c r="A26" s="260" t="s">
        <v>35</v>
      </c>
      <c r="B26" s="261" t="s">
        <v>101</v>
      </c>
      <c r="C26" s="279">
        <f t="shared" ref="C26:Q26" si="2">ROUND(C9+C10+C23,3)</f>
        <v>15.968</v>
      </c>
      <c r="D26" s="280">
        <f t="shared" si="2"/>
        <v>14.833</v>
      </c>
      <c r="E26" s="280">
        <f t="shared" si="2"/>
        <v>15.35</v>
      </c>
      <c r="F26" s="281">
        <f t="shared" si="2"/>
        <v>14.988</v>
      </c>
      <c r="G26" s="129">
        <f t="shared" si="2"/>
        <v>50.338999999999999</v>
      </c>
      <c r="H26" s="279">
        <f t="shared" si="2"/>
        <v>16.047999999999998</v>
      </c>
      <c r="I26" s="280">
        <f t="shared" si="2"/>
        <v>14.833</v>
      </c>
      <c r="J26" s="280">
        <f t="shared" si="2"/>
        <v>15.35</v>
      </c>
      <c r="K26" s="281">
        <f t="shared" si="2"/>
        <v>14.988</v>
      </c>
      <c r="L26" s="129">
        <f t="shared" si="2"/>
        <v>50.418999999999997</v>
      </c>
      <c r="M26" s="279">
        <f t="shared" si="2"/>
        <v>16.047999999999998</v>
      </c>
      <c r="N26" s="280">
        <f t="shared" si="2"/>
        <v>14.833</v>
      </c>
      <c r="O26" s="280">
        <f t="shared" si="2"/>
        <v>15.35</v>
      </c>
      <c r="P26" s="281">
        <f t="shared" si="2"/>
        <v>14.988</v>
      </c>
      <c r="Q26" s="129">
        <f t="shared" si="2"/>
        <v>50.418999999999997</v>
      </c>
      <c r="R26" s="73"/>
      <c r="S26" s="73"/>
      <c r="T26" s="73"/>
      <c r="U26" s="73"/>
      <c r="V26" s="73"/>
    </row>
    <row r="27" spans="1:22" s="10" customFormat="1" x14ac:dyDescent="0.25">
      <c r="A27" s="257" t="s">
        <v>69</v>
      </c>
      <c r="B27" s="262" t="s">
        <v>101</v>
      </c>
      <c r="C27" s="273">
        <f t="shared" ref="C27:Q27" si="3">ROUND(C28+C33,3)</f>
        <v>2.1880000000000002</v>
      </c>
      <c r="D27" s="274">
        <f t="shared" si="3"/>
        <v>1.0509999999999999</v>
      </c>
      <c r="E27" s="274">
        <f t="shared" si="3"/>
        <v>1.5680000000000001</v>
      </c>
      <c r="F27" s="275">
        <f t="shared" si="3"/>
        <v>1.204</v>
      </c>
      <c r="G27" s="117">
        <f t="shared" si="3"/>
        <v>6.0110000000000001</v>
      </c>
      <c r="H27" s="273">
        <f t="shared" si="3"/>
        <v>2.2679999999999998</v>
      </c>
      <c r="I27" s="274">
        <f t="shared" si="3"/>
        <v>1.0509999999999999</v>
      </c>
      <c r="J27" s="274">
        <f t="shared" si="3"/>
        <v>1.5680000000000001</v>
      </c>
      <c r="K27" s="275">
        <f t="shared" si="3"/>
        <v>1.204</v>
      </c>
      <c r="L27" s="117">
        <f t="shared" si="3"/>
        <v>6.0910000000000002</v>
      </c>
      <c r="M27" s="273">
        <f t="shared" si="3"/>
        <v>2.2679999999999998</v>
      </c>
      <c r="N27" s="274">
        <f t="shared" si="3"/>
        <v>1.0509999999999999</v>
      </c>
      <c r="O27" s="274">
        <f t="shared" si="3"/>
        <v>1.5680000000000001</v>
      </c>
      <c r="P27" s="275">
        <f t="shared" si="3"/>
        <v>1.204</v>
      </c>
      <c r="Q27" s="117">
        <f t="shared" si="3"/>
        <v>6.0910000000000002</v>
      </c>
      <c r="R27" s="73"/>
      <c r="S27" s="73"/>
      <c r="T27" s="73"/>
      <c r="U27" s="73"/>
      <c r="V27" s="73"/>
    </row>
    <row r="28" spans="1:22" s="10" customFormat="1" ht="17.25" customHeight="1" x14ac:dyDescent="0.25">
      <c r="A28" s="263" t="s">
        <v>68</v>
      </c>
      <c r="B28" s="262" t="s">
        <v>101</v>
      </c>
      <c r="C28" s="273">
        <f t="shared" ref="C28:Q28" si="4">ROUND(C29+C30-C31+C32,3)</f>
        <v>2.1880000000000002</v>
      </c>
      <c r="D28" s="274">
        <f t="shared" si="4"/>
        <v>1.0509999999999999</v>
      </c>
      <c r="E28" s="274">
        <f t="shared" si="4"/>
        <v>1.5680000000000001</v>
      </c>
      <c r="F28" s="275">
        <f t="shared" si="4"/>
        <v>1.204</v>
      </c>
      <c r="G28" s="117">
        <f t="shared" si="4"/>
        <v>6.0110000000000001</v>
      </c>
      <c r="H28" s="273">
        <f t="shared" si="4"/>
        <v>2.2679999999999998</v>
      </c>
      <c r="I28" s="274">
        <f t="shared" si="4"/>
        <v>1.0509999999999999</v>
      </c>
      <c r="J28" s="274">
        <f t="shared" si="4"/>
        <v>1.5680000000000001</v>
      </c>
      <c r="K28" s="275">
        <f t="shared" si="4"/>
        <v>1.204</v>
      </c>
      <c r="L28" s="117">
        <f t="shared" si="4"/>
        <v>6.0910000000000002</v>
      </c>
      <c r="M28" s="273">
        <f t="shared" si="4"/>
        <v>2.2679999999999998</v>
      </c>
      <c r="N28" s="274">
        <f t="shared" si="4"/>
        <v>1.0509999999999999</v>
      </c>
      <c r="O28" s="274">
        <f t="shared" si="4"/>
        <v>1.5680000000000001</v>
      </c>
      <c r="P28" s="275">
        <f t="shared" si="4"/>
        <v>1.204</v>
      </c>
      <c r="Q28" s="117">
        <f t="shared" si="4"/>
        <v>6.0910000000000002</v>
      </c>
      <c r="R28" s="73"/>
      <c r="S28" s="73"/>
      <c r="T28" s="73"/>
      <c r="U28" s="73"/>
      <c r="V28" s="73"/>
    </row>
    <row r="29" spans="1:22" s="73" customFormat="1" ht="30" outlineLevel="1" x14ac:dyDescent="0.25">
      <c r="A29" s="80" t="s">
        <v>41</v>
      </c>
      <c r="B29" s="223" t="s">
        <v>101</v>
      </c>
      <c r="C29" s="118">
        <f>ROUND('1. Статистика'!N26,3)</f>
        <v>2.1880000000000002</v>
      </c>
      <c r="D29" s="119">
        <f>ROUND('1. Статистика'!O26,3)</f>
        <v>0.82099999999999995</v>
      </c>
      <c r="E29" s="119">
        <f>ROUND('1. Статистика'!P26,3)</f>
        <v>1.3680000000000001</v>
      </c>
      <c r="F29" s="120">
        <f>ROUND('1. Статистика'!Q26,3)</f>
        <v>1.0940000000000001</v>
      </c>
      <c r="G29" s="121">
        <f>ROUND(SUM(C29:F29),3)</f>
        <v>5.4710000000000001</v>
      </c>
      <c r="H29" s="118">
        <f>ROUND(C28,3)</f>
        <v>2.1880000000000002</v>
      </c>
      <c r="I29" s="119">
        <f>ROUND(D28,3)</f>
        <v>1.0509999999999999</v>
      </c>
      <c r="J29" s="119">
        <f>ROUND(E28,3)</f>
        <v>1.5680000000000001</v>
      </c>
      <c r="K29" s="120">
        <f>ROUND(F28,3)</f>
        <v>1.204</v>
      </c>
      <c r="L29" s="121">
        <f>ROUND(SUM(H29:K29),3)</f>
        <v>6.0110000000000001</v>
      </c>
      <c r="M29" s="118">
        <f>ROUND(H28,3)</f>
        <v>2.2679999999999998</v>
      </c>
      <c r="N29" s="119">
        <f>ROUND(I28,3)</f>
        <v>1.0509999999999999</v>
      </c>
      <c r="O29" s="119">
        <f>ROUND(J28,3)</f>
        <v>1.5680000000000001</v>
      </c>
      <c r="P29" s="120">
        <f>ROUND(K28,3)</f>
        <v>1.204</v>
      </c>
      <c r="Q29" s="121">
        <f>ROUND(SUM(M29:P29),3)</f>
        <v>6.0910000000000002</v>
      </c>
    </row>
    <row r="30" spans="1:22" s="73" customFormat="1" ht="28.5" customHeight="1" outlineLevel="1" x14ac:dyDescent="0.25">
      <c r="A30" s="80" t="s">
        <v>42</v>
      </c>
      <c r="B30" s="223" t="s">
        <v>101</v>
      </c>
      <c r="C30" s="118">
        <f>ROUND('1. Статистика'!D14,3)</f>
        <v>0</v>
      </c>
      <c r="D30" s="119">
        <f>ROUND('1. Статистика'!E14,3)</f>
        <v>0</v>
      </c>
      <c r="E30" s="119">
        <f>ROUND('1. Статистика'!F14,3)</f>
        <v>0</v>
      </c>
      <c r="F30" s="120">
        <f>ROUND('1. Статистика'!G14,3)</f>
        <v>0</v>
      </c>
      <c r="G30" s="121">
        <f>ROUND(SUM(C30:F30),3)</f>
        <v>0</v>
      </c>
      <c r="H30" s="118">
        <f>ROUND('1. Статистика'!I14,3)</f>
        <v>0</v>
      </c>
      <c r="I30" s="119">
        <f>ROUND('1. Статистика'!J14,3)</f>
        <v>0</v>
      </c>
      <c r="J30" s="119">
        <f>ROUND('1. Статистика'!K14,3)</f>
        <v>0</v>
      </c>
      <c r="K30" s="120">
        <f>ROUND('1. Статистика'!L14,3)</f>
        <v>0</v>
      </c>
      <c r="L30" s="121">
        <f>ROUND(SUM(H30:K30),3)</f>
        <v>0</v>
      </c>
      <c r="M30" s="118">
        <f>ROUND('1. Статистика'!N14,3)</f>
        <v>0</v>
      </c>
      <c r="N30" s="119">
        <f>ROUND('1. Статистика'!O14,3)</f>
        <v>0</v>
      </c>
      <c r="O30" s="119">
        <f>ROUND('1. Статистика'!P14,3)</f>
        <v>0</v>
      </c>
      <c r="P30" s="120">
        <f>ROUND('1. Статистика'!Q14,3)</f>
        <v>0</v>
      </c>
      <c r="Q30" s="121">
        <f>ROUND(SUM(M30:P30),3)</f>
        <v>0</v>
      </c>
    </row>
    <row r="31" spans="1:22" s="73" customFormat="1" ht="30" outlineLevel="1" x14ac:dyDescent="0.25">
      <c r="A31" s="80" t="s">
        <v>43</v>
      </c>
      <c r="B31" s="223" t="s">
        <v>101</v>
      </c>
      <c r="C31" s="302"/>
      <c r="D31" s="303"/>
      <c r="E31" s="303"/>
      <c r="F31" s="304"/>
      <c r="G31" s="121">
        <f>ROUND(SUM(C31:F31),3)</f>
        <v>0</v>
      </c>
      <c r="H31" s="302"/>
      <c r="I31" s="303"/>
      <c r="J31" s="303"/>
      <c r="K31" s="304"/>
      <c r="L31" s="121">
        <f>ROUND(SUM(H31:K31),3)</f>
        <v>0</v>
      </c>
      <c r="M31" s="302"/>
      <c r="N31" s="303"/>
      <c r="O31" s="303"/>
      <c r="P31" s="304"/>
      <c r="Q31" s="121">
        <f>ROUND(SUM(M31:P31),3)</f>
        <v>0</v>
      </c>
    </row>
    <row r="32" spans="1:22" s="73" customFormat="1" ht="30" outlineLevel="1" x14ac:dyDescent="0.25">
      <c r="A32" s="80" t="s">
        <v>44</v>
      </c>
      <c r="B32" s="223" t="s">
        <v>101</v>
      </c>
      <c r="C32" s="127">
        <v>0</v>
      </c>
      <c r="D32" s="128">
        <v>0.23</v>
      </c>
      <c r="E32" s="128">
        <v>0.2</v>
      </c>
      <c r="F32" s="128">
        <v>0.11</v>
      </c>
      <c r="G32" s="121">
        <f>ROUND(SUM(C32:F32),3)</f>
        <v>0.54</v>
      </c>
      <c r="H32" s="127">
        <v>0.08</v>
      </c>
      <c r="I32" s="128">
        <v>0</v>
      </c>
      <c r="J32" s="128">
        <v>0</v>
      </c>
      <c r="K32" s="128">
        <v>0</v>
      </c>
      <c r="L32" s="121">
        <f>ROUND(SUM(H32:K32),3)</f>
        <v>0.08</v>
      </c>
      <c r="M32" s="127">
        <v>0</v>
      </c>
      <c r="N32" s="128">
        <v>0</v>
      </c>
      <c r="O32" s="128">
        <v>0</v>
      </c>
      <c r="P32" s="128">
        <v>0</v>
      </c>
      <c r="Q32" s="121">
        <f>ROUND(SUM(M32:P32),3)</f>
        <v>0</v>
      </c>
    </row>
    <row r="33" spans="1:17" s="34" customFormat="1" x14ac:dyDescent="0.25">
      <c r="A33" s="264" t="s">
        <v>74</v>
      </c>
      <c r="B33" s="262" t="s">
        <v>101</v>
      </c>
      <c r="C33" s="273">
        <f t="shared" ref="C33:Q33" si="5">ROUND(C34+C35-C36+C37,3)</f>
        <v>0</v>
      </c>
      <c r="D33" s="274">
        <f t="shared" si="5"/>
        <v>0</v>
      </c>
      <c r="E33" s="274">
        <f t="shared" si="5"/>
        <v>0</v>
      </c>
      <c r="F33" s="275">
        <f t="shared" si="5"/>
        <v>0</v>
      </c>
      <c r="G33" s="117">
        <f t="shared" si="5"/>
        <v>0</v>
      </c>
      <c r="H33" s="273">
        <f t="shared" si="5"/>
        <v>0</v>
      </c>
      <c r="I33" s="274">
        <f t="shared" si="5"/>
        <v>0</v>
      </c>
      <c r="J33" s="274">
        <f t="shared" si="5"/>
        <v>0</v>
      </c>
      <c r="K33" s="275">
        <f t="shared" si="5"/>
        <v>0</v>
      </c>
      <c r="L33" s="117">
        <f t="shared" si="5"/>
        <v>0</v>
      </c>
      <c r="M33" s="273">
        <f t="shared" si="5"/>
        <v>0</v>
      </c>
      <c r="N33" s="274">
        <f t="shared" si="5"/>
        <v>0</v>
      </c>
      <c r="O33" s="274">
        <f t="shared" si="5"/>
        <v>0</v>
      </c>
      <c r="P33" s="275">
        <f t="shared" si="5"/>
        <v>0</v>
      </c>
      <c r="Q33" s="117">
        <f t="shared" si="5"/>
        <v>0</v>
      </c>
    </row>
    <row r="34" spans="1:17" s="73" customFormat="1" ht="30" outlineLevel="1" x14ac:dyDescent="0.25">
      <c r="A34" s="80" t="s">
        <v>41</v>
      </c>
      <c r="B34" s="223" t="s">
        <v>101</v>
      </c>
      <c r="C34" s="118">
        <f>ROUND('1. Статистика'!N27,3)</f>
        <v>0</v>
      </c>
      <c r="D34" s="119">
        <f>ROUND('1. Статистика'!O27,3)</f>
        <v>0</v>
      </c>
      <c r="E34" s="119">
        <f>ROUND('1. Статистика'!P27,3)</f>
        <v>0</v>
      </c>
      <c r="F34" s="120">
        <f>ROUND('1. Статистика'!Q27,3)</f>
        <v>0</v>
      </c>
      <c r="G34" s="121">
        <f>ROUND(SUM(C34:F34),3)</f>
        <v>0</v>
      </c>
      <c r="H34" s="118">
        <f>ROUND(C33,3)</f>
        <v>0</v>
      </c>
      <c r="I34" s="119">
        <f>ROUND(D33,3)</f>
        <v>0</v>
      </c>
      <c r="J34" s="119">
        <f>ROUND(E33,3)</f>
        <v>0</v>
      </c>
      <c r="K34" s="120">
        <f>ROUND(F33,3)</f>
        <v>0</v>
      </c>
      <c r="L34" s="121">
        <f>ROUND(SUM(H34:K34),3)</f>
        <v>0</v>
      </c>
      <c r="M34" s="118">
        <f>ROUND(H33,3)</f>
        <v>0</v>
      </c>
      <c r="N34" s="119">
        <f>ROUND(I33,3)</f>
        <v>0</v>
      </c>
      <c r="O34" s="119">
        <f>ROUND(J33,3)</f>
        <v>0</v>
      </c>
      <c r="P34" s="120">
        <f>ROUND(K33,3)</f>
        <v>0</v>
      </c>
      <c r="Q34" s="121">
        <f>ROUND(SUM(M34:P34),3)</f>
        <v>0</v>
      </c>
    </row>
    <row r="35" spans="1:17" s="73" customFormat="1" ht="28.5" customHeight="1" outlineLevel="1" x14ac:dyDescent="0.25">
      <c r="A35" s="80" t="s">
        <v>42</v>
      </c>
      <c r="B35" s="223" t="s">
        <v>101</v>
      </c>
      <c r="C35" s="118">
        <f>ROUND('1. Статистика'!D15,3)</f>
        <v>0</v>
      </c>
      <c r="D35" s="119">
        <f>ROUND('1. Статистика'!E15,3)</f>
        <v>0</v>
      </c>
      <c r="E35" s="119">
        <f>ROUND('1. Статистика'!F15,3)</f>
        <v>0</v>
      </c>
      <c r="F35" s="120">
        <f>ROUND('1. Статистика'!G15,3)</f>
        <v>0</v>
      </c>
      <c r="G35" s="121">
        <f>ROUND(SUM(C35:F35),3)</f>
        <v>0</v>
      </c>
      <c r="H35" s="118">
        <f>ROUND('1. Статистика'!I15,3)</f>
        <v>0</v>
      </c>
      <c r="I35" s="119">
        <f>ROUND('1. Статистика'!J15,3)</f>
        <v>0</v>
      </c>
      <c r="J35" s="119">
        <f>ROUND('1. Статистика'!K15,3)</f>
        <v>0</v>
      </c>
      <c r="K35" s="120">
        <f>ROUND('1. Статистика'!L15,3)</f>
        <v>0</v>
      </c>
      <c r="L35" s="121">
        <f>ROUND(SUM(H35:K35),3)</f>
        <v>0</v>
      </c>
      <c r="M35" s="118">
        <f>ROUND('1. Статистика'!N15,3)</f>
        <v>0</v>
      </c>
      <c r="N35" s="119">
        <f>ROUND('1. Статистика'!O15,3)</f>
        <v>0</v>
      </c>
      <c r="O35" s="119">
        <f>ROUND('1. Статистика'!P15,3)</f>
        <v>0</v>
      </c>
      <c r="P35" s="120">
        <f>ROUND('1. Статистика'!Q15,3)</f>
        <v>0</v>
      </c>
      <c r="Q35" s="121">
        <f>ROUND(SUM(M35:P35),3)</f>
        <v>0</v>
      </c>
    </row>
    <row r="36" spans="1:17" s="73" customFormat="1" ht="30" outlineLevel="1" x14ac:dyDescent="0.25">
      <c r="A36" s="80" t="s">
        <v>43</v>
      </c>
      <c r="B36" s="223" t="s">
        <v>101</v>
      </c>
      <c r="C36" s="302"/>
      <c r="D36" s="303"/>
      <c r="E36" s="303"/>
      <c r="F36" s="304"/>
      <c r="G36" s="121">
        <f>ROUND(SUM(C36:F36),3)</f>
        <v>0</v>
      </c>
      <c r="H36" s="302"/>
      <c r="I36" s="303"/>
      <c r="J36" s="303"/>
      <c r="K36" s="304"/>
      <c r="L36" s="121">
        <f>ROUND(SUM(H36:K36),3)</f>
        <v>0</v>
      </c>
      <c r="M36" s="302"/>
      <c r="N36" s="303"/>
      <c r="O36" s="303"/>
      <c r="P36" s="304"/>
      <c r="Q36" s="121">
        <f>ROUND(SUM(M36:P36),3)</f>
        <v>0</v>
      </c>
    </row>
    <row r="37" spans="1:17" s="73" customFormat="1" ht="30" outlineLevel="1" x14ac:dyDescent="0.25">
      <c r="A37" s="80" t="s">
        <v>44</v>
      </c>
      <c r="B37" s="223" t="s">
        <v>101</v>
      </c>
      <c r="C37" s="127">
        <v>0</v>
      </c>
      <c r="D37" s="128">
        <v>0</v>
      </c>
      <c r="E37" s="128">
        <v>0</v>
      </c>
      <c r="F37" s="128">
        <v>0</v>
      </c>
      <c r="G37" s="121">
        <f>ROUND(SUM(C37:F37),3)</f>
        <v>0</v>
      </c>
      <c r="H37" s="127">
        <v>0</v>
      </c>
      <c r="I37" s="128">
        <v>0</v>
      </c>
      <c r="J37" s="128">
        <v>0</v>
      </c>
      <c r="K37" s="128">
        <v>0</v>
      </c>
      <c r="L37" s="121">
        <f>ROUND(SUM(H37:K37),3)</f>
        <v>0</v>
      </c>
      <c r="M37" s="127">
        <v>0</v>
      </c>
      <c r="N37" s="128">
        <v>0</v>
      </c>
      <c r="O37" s="128">
        <v>0</v>
      </c>
      <c r="P37" s="128">
        <v>0</v>
      </c>
      <c r="Q37" s="121">
        <f>ROUND(SUM(M37:P37),3)</f>
        <v>0</v>
      </c>
    </row>
    <row r="38" spans="1:17" x14ac:dyDescent="0.25">
      <c r="A38" s="257" t="s">
        <v>16</v>
      </c>
      <c r="B38" s="265" t="s">
        <v>101</v>
      </c>
      <c r="C38" s="282">
        <f>ROUND('1. Статистика'!D50*$G$38,3)</f>
        <v>0</v>
      </c>
      <c r="D38" s="283">
        <f>ROUND(G38-(C38+E38+F38),3)</f>
        <v>0</v>
      </c>
      <c r="E38" s="283">
        <f>ROUND('1. Статистика'!F50*$G$38,3)</f>
        <v>0</v>
      </c>
      <c r="F38" s="283">
        <f>ROUND('1. Статистика'!G50*$G$38,3)</f>
        <v>0</v>
      </c>
      <c r="G38" s="124">
        <f>ROUND(G39*G26,3)</f>
        <v>0</v>
      </c>
      <c r="H38" s="282">
        <f>ROUND('1. Статистика'!D50*$L$38,3)</f>
        <v>0</v>
      </c>
      <c r="I38" s="283">
        <f>ROUND(L38-(H38+J38+K38),3)</f>
        <v>0</v>
      </c>
      <c r="J38" s="283">
        <f>ROUND('1. Статистика'!F50*$L$38,3)</f>
        <v>0</v>
      </c>
      <c r="K38" s="283">
        <f>ROUND('1. Статистика'!G50*$L$38,3)</f>
        <v>0</v>
      </c>
      <c r="L38" s="124">
        <f>ROUND(L39*L26,3)</f>
        <v>0</v>
      </c>
      <c r="M38" s="282">
        <f>ROUND('1. Статистика'!D50*$Q$38,3)</f>
        <v>0</v>
      </c>
      <c r="N38" s="283">
        <f>ROUND(Q38-(M38+O38+P38),3)</f>
        <v>0</v>
      </c>
      <c r="O38" s="283">
        <f>ROUND('1. Статистика'!F50*$Q$38,3)</f>
        <v>0</v>
      </c>
      <c r="P38" s="288">
        <f>ROUND('1. Статистика'!G50*$Q$38,3)</f>
        <v>0</v>
      </c>
      <c r="Q38" s="124">
        <f>ROUND(Q39*Q26,3)</f>
        <v>0</v>
      </c>
    </row>
    <row r="39" spans="1:17" s="9" customFormat="1" outlineLevel="1" x14ac:dyDescent="0.25">
      <c r="A39" s="220" t="s">
        <v>45</v>
      </c>
      <c r="B39" s="307" t="s">
        <v>104</v>
      </c>
      <c r="C39" s="308"/>
      <c r="D39" s="312"/>
      <c r="E39" s="309"/>
      <c r="F39" s="310"/>
      <c r="G39" s="361">
        <f>ROUND(IFERROR(('1. Статистика'!C28+'1. Статистика'!H28+'1. Статистика'!M28)/('1. Статистика'!C25+'1. Статистика'!H25+'1. Статистика'!M25),0),3)</f>
        <v>0</v>
      </c>
      <c r="H39" s="308"/>
      <c r="I39" s="309"/>
      <c r="J39" s="309"/>
      <c r="K39" s="310"/>
      <c r="L39" s="361">
        <f>ROUND(G39,3)</f>
        <v>0</v>
      </c>
      <c r="M39" s="308"/>
      <c r="N39" s="309"/>
      <c r="O39" s="309"/>
      <c r="P39" s="310"/>
      <c r="Q39" s="361">
        <f>ROUND(G39,3)</f>
        <v>0</v>
      </c>
    </row>
    <row r="40" spans="1:17" s="10" customFormat="1" x14ac:dyDescent="0.25">
      <c r="A40" s="257" t="s">
        <v>46</v>
      </c>
      <c r="B40" s="266" t="s">
        <v>101</v>
      </c>
      <c r="C40" s="273">
        <f>ROUND(C41+C42,3)</f>
        <v>0</v>
      </c>
      <c r="D40" s="274">
        <f>ROUND(D41+D42,3)</f>
        <v>0</v>
      </c>
      <c r="E40" s="274">
        <f>ROUND(E41+E42,3)</f>
        <v>0</v>
      </c>
      <c r="F40" s="275">
        <f>ROUND(F41+F42,3)</f>
        <v>0</v>
      </c>
      <c r="G40" s="117">
        <f>ROUND(SUM(G41:G42),3)</f>
        <v>0</v>
      </c>
      <c r="H40" s="273">
        <f>ROUND(H41+H42,3)</f>
        <v>0</v>
      </c>
      <c r="I40" s="274">
        <f>ROUND(I41+I42,3)</f>
        <v>0</v>
      </c>
      <c r="J40" s="274">
        <f>ROUND(J41+J42,3)</f>
        <v>0</v>
      </c>
      <c r="K40" s="275">
        <f>ROUND(K41+K42,3)</f>
        <v>0</v>
      </c>
      <c r="L40" s="117">
        <f>ROUND(SUM(H40:K40),3)</f>
        <v>0</v>
      </c>
      <c r="M40" s="273">
        <f>ROUND(M41+M42,3)</f>
        <v>0</v>
      </c>
      <c r="N40" s="274">
        <f>ROUND(N41+N42,3)</f>
        <v>0</v>
      </c>
      <c r="O40" s="274">
        <f>ROUND(O41+O42,3)</f>
        <v>0</v>
      </c>
      <c r="P40" s="275">
        <f>ROUND(P41+P42,3)</f>
        <v>0</v>
      </c>
      <c r="Q40" s="117">
        <f>ROUND(SUM(Q41:Q42),3)</f>
        <v>0</v>
      </c>
    </row>
    <row r="41" spans="1:17" s="73" customFormat="1" outlineLevel="1" x14ac:dyDescent="0.25">
      <c r="A41" s="220" t="s">
        <v>47</v>
      </c>
      <c r="B41" s="223" t="s">
        <v>101</v>
      </c>
      <c r="C41" s="118">
        <f>ROUND('1. Статистика'!N29,3)</f>
        <v>0</v>
      </c>
      <c r="D41" s="119">
        <f>ROUND('1. Статистика'!O29,3)</f>
        <v>0</v>
      </c>
      <c r="E41" s="119">
        <f>ROUND('1. Статистика'!P29,3)</f>
        <v>0</v>
      </c>
      <c r="F41" s="120">
        <f>ROUND('1. Статистика'!Q29,3)</f>
        <v>0</v>
      </c>
      <c r="G41" s="121">
        <f>ROUND(SUM(C41:F41),3)</f>
        <v>0</v>
      </c>
      <c r="H41" s="118">
        <f>ROUND(C40,3)</f>
        <v>0</v>
      </c>
      <c r="I41" s="119">
        <f>ROUND(D40,3)</f>
        <v>0</v>
      </c>
      <c r="J41" s="119">
        <f>ROUND(E40,3)</f>
        <v>0</v>
      </c>
      <c r="K41" s="120">
        <f>ROUND(F40,3)</f>
        <v>0</v>
      </c>
      <c r="L41" s="121">
        <f>ROUND(SUM(H41:K41),3)</f>
        <v>0</v>
      </c>
      <c r="M41" s="118">
        <f>ROUND(H40,3)</f>
        <v>0</v>
      </c>
      <c r="N41" s="119">
        <f>ROUND(I40,3)</f>
        <v>0</v>
      </c>
      <c r="O41" s="119">
        <f>ROUND(J40,3)</f>
        <v>0</v>
      </c>
      <c r="P41" s="120">
        <f>ROUND(K40,3)</f>
        <v>0</v>
      </c>
      <c r="Q41" s="121">
        <f>ROUND(SUM(M41:P41),3)</f>
        <v>0</v>
      </c>
    </row>
    <row r="42" spans="1:17" s="73" customFormat="1" outlineLevel="1" x14ac:dyDescent="0.25">
      <c r="A42" s="220" t="s">
        <v>48</v>
      </c>
      <c r="B42" s="223" t="s">
        <v>101</v>
      </c>
      <c r="C42" s="127"/>
      <c r="D42" s="128"/>
      <c r="E42" s="128"/>
      <c r="F42" s="128"/>
      <c r="G42" s="121">
        <f>ROUND(SUM(C42:F42),3)</f>
        <v>0</v>
      </c>
      <c r="H42" s="128"/>
      <c r="I42" s="128"/>
      <c r="J42" s="128"/>
      <c r="K42" s="128"/>
      <c r="L42" s="121">
        <f>ROUND(SUM(H42:K42),3)</f>
        <v>0</v>
      </c>
      <c r="M42" s="128"/>
      <c r="N42" s="128"/>
      <c r="O42" s="128"/>
      <c r="P42" s="145"/>
      <c r="Q42" s="121">
        <f>ROUND(SUM(M42:P42),3)</f>
        <v>0</v>
      </c>
    </row>
    <row r="43" spans="1:17" s="10" customFormat="1" x14ac:dyDescent="0.25">
      <c r="A43" s="257" t="s">
        <v>49</v>
      </c>
      <c r="B43" s="267" t="s">
        <v>101</v>
      </c>
      <c r="C43" s="273">
        <f>ROUND(C44+C45,3)</f>
        <v>10.18</v>
      </c>
      <c r="D43" s="274">
        <f>ROUND(D44+D45,3)</f>
        <v>10.182</v>
      </c>
      <c r="E43" s="274">
        <f>ROUND(E44+E45,3)</f>
        <v>10.182</v>
      </c>
      <c r="F43" s="275">
        <f>ROUND(F44+F45,3)</f>
        <v>10.183999999999999</v>
      </c>
      <c r="G43" s="117">
        <f>ROUND(SUM(G44:G45),3)</f>
        <v>40.728000000000002</v>
      </c>
      <c r="H43" s="273">
        <f>ROUND(H44+H45,3)</f>
        <v>10.18</v>
      </c>
      <c r="I43" s="274">
        <f>ROUND(I44+I45,3)</f>
        <v>10.182</v>
      </c>
      <c r="J43" s="274">
        <f>ROUND(J44+J45,3)</f>
        <v>10.182</v>
      </c>
      <c r="K43" s="275">
        <f>ROUND(K44+K45,3)</f>
        <v>10.183999999999999</v>
      </c>
      <c r="L43" s="117">
        <f>ROUND(SUM(L44:L45),3)</f>
        <v>40.728000000000002</v>
      </c>
      <c r="M43" s="273">
        <f>ROUND(M44+M45,3)</f>
        <v>10.18</v>
      </c>
      <c r="N43" s="274">
        <f>ROUND(N44+N45,3)</f>
        <v>10.182</v>
      </c>
      <c r="O43" s="274">
        <f>ROUND(O44+O45,3)</f>
        <v>10.182</v>
      </c>
      <c r="P43" s="275">
        <f>ROUND(P44+P45,3)</f>
        <v>10.183999999999999</v>
      </c>
      <c r="Q43" s="117">
        <f>ROUND(SUM(Q44:Q45),3)</f>
        <v>40.728000000000002</v>
      </c>
    </row>
    <row r="44" spans="1:17" s="73" customFormat="1" outlineLevel="1" x14ac:dyDescent="0.25">
      <c r="A44" s="220" t="s">
        <v>50</v>
      </c>
      <c r="B44" s="223" t="s">
        <v>101</v>
      </c>
      <c r="C44" s="118">
        <f>ROUND('1. Статистика'!N30,3)</f>
        <v>10.18</v>
      </c>
      <c r="D44" s="119">
        <f>ROUND('1. Статистика'!O30,3)</f>
        <v>10.182</v>
      </c>
      <c r="E44" s="119">
        <f>ROUND('1. Статистика'!P30,3)</f>
        <v>10.182</v>
      </c>
      <c r="F44" s="120">
        <f>ROUND('1. Статистика'!Q30,3)</f>
        <v>10.183999999999999</v>
      </c>
      <c r="G44" s="121">
        <f>ROUND(SUM(C44:F44),3)</f>
        <v>40.728000000000002</v>
      </c>
      <c r="H44" s="118">
        <f>ROUND(C43,3)</f>
        <v>10.18</v>
      </c>
      <c r="I44" s="119">
        <f>ROUND(D43,3)</f>
        <v>10.182</v>
      </c>
      <c r="J44" s="119">
        <f>ROUND(E43,3)</f>
        <v>10.182</v>
      </c>
      <c r="K44" s="120">
        <f>ROUND(F43,3)</f>
        <v>10.183999999999999</v>
      </c>
      <c r="L44" s="121">
        <f>ROUND(SUM(H44:K44),3)</f>
        <v>40.728000000000002</v>
      </c>
      <c r="M44" s="118">
        <f>ROUND(H43,3)</f>
        <v>10.18</v>
      </c>
      <c r="N44" s="119">
        <f>ROUND(I43,3)</f>
        <v>10.182</v>
      </c>
      <c r="O44" s="119">
        <f>ROUND(J43,3)</f>
        <v>10.182</v>
      </c>
      <c r="P44" s="120">
        <f>ROUND(K43,3)</f>
        <v>10.183999999999999</v>
      </c>
      <c r="Q44" s="126">
        <f>ROUND(SUM(M44:P44),3)</f>
        <v>40.728000000000002</v>
      </c>
    </row>
    <row r="45" spans="1:17" s="73" customFormat="1" ht="30" outlineLevel="1" x14ac:dyDescent="0.25">
      <c r="A45" s="313" t="s">
        <v>51</v>
      </c>
      <c r="B45" s="223" t="s">
        <v>101</v>
      </c>
      <c r="C45" s="127">
        <v>0</v>
      </c>
      <c r="D45" s="127">
        <v>0</v>
      </c>
      <c r="E45" s="127">
        <v>0</v>
      </c>
      <c r="F45" s="127">
        <v>0</v>
      </c>
      <c r="G45" s="121">
        <f>ROUND(SUM(C45:F45),3)</f>
        <v>0</v>
      </c>
      <c r="H45" s="128"/>
      <c r="I45" s="128"/>
      <c r="J45" s="128"/>
      <c r="K45" s="128"/>
      <c r="L45" s="121">
        <f>ROUND(SUM(H45:K45),3)</f>
        <v>0</v>
      </c>
      <c r="M45" s="128"/>
      <c r="N45" s="128"/>
      <c r="O45" s="128"/>
      <c r="P45" s="145"/>
      <c r="Q45" s="126">
        <f>ROUND(SUM(M45:P45),3)</f>
        <v>0</v>
      </c>
    </row>
    <row r="46" spans="1:17" s="2" customFormat="1" ht="15" customHeight="1" collapsed="1" x14ac:dyDescent="0.25">
      <c r="A46" s="260" t="s">
        <v>40</v>
      </c>
      <c r="B46" s="261" t="s">
        <v>101</v>
      </c>
      <c r="C46" s="279">
        <f t="shared" ref="C46:Q46" si="6">ROUND(C27+C40+C43+C38,3)</f>
        <v>12.368</v>
      </c>
      <c r="D46" s="280">
        <f t="shared" si="6"/>
        <v>11.233000000000001</v>
      </c>
      <c r="E46" s="280">
        <f t="shared" si="6"/>
        <v>11.75</v>
      </c>
      <c r="F46" s="281">
        <f t="shared" si="6"/>
        <v>11.388</v>
      </c>
      <c r="G46" s="129">
        <f t="shared" si="6"/>
        <v>46.738999999999997</v>
      </c>
      <c r="H46" s="279">
        <f t="shared" si="6"/>
        <v>12.448</v>
      </c>
      <c r="I46" s="280">
        <f t="shared" si="6"/>
        <v>11.233000000000001</v>
      </c>
      <c r="J46" s="280">
        <f t="shared" si="6"/>
        <v>11.75</v>
      </c>
      <c r="K46" s="281">
        <f t="shared" si="6"/>
        <v>11.388</v>
      </c>
      <c r="L46" s="129">
        <f t="shared" si="6"/>
        <v>46.819000000000003</v>
      </c>
      <c r="M46" s="279">
        <f t="shared" si="6"/>
        <v>12.448</v>
      </c>
      <c r="N46" s="280">
        <f t="shared" si="6"/>
        <v>11.233000000000001</v>
      </c>
      <c r="O46" s="280">
        <f t="shared" si="6"/>
        <v>11.75</v>
      </c>
      <c r="P46" s="281">
        <f t="shared" si="6"/>
        <v>11.388</v>
      </c>
      <c r="Q46" s="129">
        <f t="shared" si="6"/>
        <v>46.819000000000003</v>
      </c>
    </row>
    <row r="47" spans="1:17" ht="15.75" thickBot="1" x14ac:dyDescent="0.3">
      <c r="A47" s="268" t="s">
        <v>52</v>
      </c>
      <c r="B47" s="269" t="s">
        <v>101</v>
      </c>
      <c r="C47" s="284">
        <f t="shared" ref="C47:Q47" si="7">ROUND(C26-C46,3)</f>
        <v>3.6</v>
      </c>
      <c r="D47" s="285">
        <f t="shared" si="7"/>
        <v>3.6</v>
      </c>
      <c r="E47" s="285">
        <f t="shared" si="7"/>
        <v>3.6</v>
      </c>
      <c r="F47" s="286">
        <f t="shared" si="7"/>
        <v>3.6</v>
      </c>
      <c r="G47" s="130">
        <f t="shared" si="7"/>
        <v>3.6</v>
      </c>
      <c r="H47" s="284">
        <f t="shared" si="7"/>
        <v>3.6</v>
      </c>
      <c r="I47" s="285">
        <f t="shared" si="7"/>
        <v>3.6</v>
      </c>
      <c r="J47" s="285">
        <f t="shared" si="7"/>
        <v>3.6</v>
      </c>
      <c r="K47" s="286">
        <f t="shared" si="7"/>
        <v>3.6</v>
      </c>
      <c r="L47" s="130">
        <f t="shared" si="7"/>
        <v>3.6</v>
      </c>
      <c r="M47" s="284">
        <f t="shared" si="7"/>
        <v>3.6</v>
      </c>
      <c r="N47" s="285">
        <f t="shared" si="7"/>
        <v>3.6</v>
      </c>
      <c r="O47" s="285">
        <f t="shared" si="7"/>
        <v>3.6</v>
      </c>
      <c r="P47" s="286">
        <f t="shared" si="7"/>
        <v>3.6</v>
      </c>
      <c r="Q47" s="130">
        <f t="shared" si="7"/>
        <v>3.6</v>
      </c>
    </row>
    <row r="48" spans="1:17" collapsed="1" x14ac:dyDescent="0.25"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</row>
    <row r="49" spans="1:17" x14ac:dyDescent="0.25"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</row>
    <row r="50" spans="1:17" ht="15" customHeight="1" x14ac:dyDescent="0.25">
      <c r="A50" s="225" t="s">
        <v>67</v>
      </c>
      <c r="B50" s="226"/>
      <c r="C50" s="228">
        <f t="shared" ref="C50:Q50" si="8">ROUND(C26-C46-C47,3)</f>
        <v>0</v>
      </c>
      <c r="D50" s="228">
        <f t="shared" si="8"/>
        <v>0</v>
      </c>
      <c r="E50" s="228">
        <f t="shared" si="8"/>
        <v>0</v>
      </c>
      <c r="F50" s="228">
        <f t="shared" si="8"/>
        <v>0</v>
      </c>
      <c r="G50" s="248">
        <f t="shared" si="8"/>
        <v>0</v>
      </c>
      <c r="H50" s="228">
        <f t="shared" si="8"/>
        <v>0</v>
      </c>
      <c r="I50" s="228">
        <f t="shared" si="8"/>
        <v>0</v>
      </c>
      <c r="J50" s="228">
        <f t="shared" si="8"/>
        <v>0</v>
      </c>
      <c r="K50" s="228">
        <f t="shared" si="8"/>
        <v>0</v>
      </c>
      <c r="L50" s="248">
        <f t="shared" si="8"/>
        <v>0</v>
      </c>
      <c r="M50" s="228">
        <f t="shared" si="8"/>
        <v>0</v>
      </c>
      <c r="N50" s="228">
        <f t="shared" si="8"/>
        <v>0</v>
      </c>
      <c r="O50" s="228">
        <f t="shared" si="8"/>
        <v>0</v>
      </c>
      <c r="P50" s="228">
        <f t="shared" si="8"/>
        <v>0</v>
      </c>
      <c r="Q50" s="248">
        <f t="shared" si="8"/>
        <v>0</v>
      </c>
    </row>
    <row r="51" spans="1:17" x14ac:dyDescent="0.25">
      <c r="A51" s="30"/>
      <c r="C51" s="229"/>
      <c r="D51" s="229"/>
      <c r="E51" s="229"/>
      <c r="F51" s="229"/>
      <c r="G51" s="249"/>
      <c r="H51" s="229"/>
      <c r="I51" s="229"/>
      <c r="J51" s="229"/>
      <c r="K51" s="229"/>
      <c r="L51" s="249"/>
      <c r="M51" s="229"/>
      <c r="N51" s="229"/>
      <c r="O51" s="229"/>
      <c r="P51" s="229"/>
      <c r="Q51" s="249"/>
    </row>
    <row r="52" spans="1:17" x14ac:dyDescent="0.25">
      <c r="C52" s="229"/>
      <c r="D52" s="229"/>
      <c r="E52" s="229"/>
      <c r="F52" s="229"/>
      <c r="G52" s="249"/>
      <c r="H52" s="229"/>
      <c r="I52" s="229"/>
      <c r="J52" s="229"/>
      <c r="K52" s="229"/>
      <c r="L52" s="249"/>
      <c r="M52" s="229"/>
      <c r="N52" s="229"/>
      <c r="O52" s="229"/>
      <c r="P52" s="229"/>
      <c r="Q52" s="249"/>
    </row>
    <row r="53" spans="1:17" x14ac:dyDescent="0.25">
      <c r="A53" s="225" t="s">
        <v>53</v>
      </c>
      <c r="B53" s="226"/>
      <c r="C53" s="228">
        <f t="shared" ref="C53:Q53" si="9">ROUND(C9+C10+C23-C27-C38-C40-C43-C47,3)</f>
        <v>0</v>
      </c>
      <c r="D53" s="228">
        <f t="shared" si="9"/>
        <v>0</v>
      </c>
      <c r="E53" s="228">
        <f t="shared" si="9"/>
        <v>0</v>
      </c>
      <c r="F53" s="228">
        <f t="shared" si="9"/>
        <v>0</v>
      </c>
      <c r="G53" s="248">
        <f t="shared" si="9"/>
        <v>0</v>
      </c>
      <c r="H53" s="228">
        <f t="shared" si="9"/>
        <v>0</v>
      </c>
      <c r="I53" s="228">
        <f t="shared" si="9"/>
        <v>0</v>
      </c>
      <c r="J53" s="228">
        <f t="shared" si="9"/>
        <v>0</v>
      </c>
      <c r="K53" s="228">
        <f t="shared" si="9"/>
        <v>0</v>
      </c>
      <c r="L53" s="248">
        <f t="shared" si="9"/>
        <v>0</v>
      </c>
      <c r="M53" s="228">
        <f t="shared" si="9"/>
        <v>0</v>
      </c>
      <c r="N53" s="228">
        <f t="shared" si="9"/>
        <v>0</v>
      </c>
      <c r="O53" s="228">
        <f t="shared" si="9"/>
        <v>0</v>
      </c>
      <c r="P53" s="228">
        <f t="shared" si="9"/>
        <v>0</v>
      </c>
      <c r="Q53" s="248">
        <f t="shared" si="9"/>
        <v>0</v>
      </c>
    </row>
    <row r="177" spans="5:5" ht="15" customHeight="1" x14ac:dyDescent="0.25">
      <c r="E177" s="17">
        <f>E140-E52+'2. Прогноз. Без корректировки'!D177</f>
        <v>0</v>
      </c>
    </row>
  </sheetData>
  <sheetProtection algorithmName="SHA-512" hashValue="2ZG1zIkiacjveucpgSZGkaKFs6NKoeXiZqPa+eliHEu4hXLnu0Ez/pRuxof7Ym8/Uyq+ftD6VSpoV6rAsaUVSw==" saltValue="48NIXk18MoXIZ7fmdbmWjg==" spinCount="100000" sheet="1" objects="1" scenarios="1"/>
  <mergeCells count="8">
    <mergeCell ref="H7:K7"/>
    <mergeCell ref="Q7:Q8"/>
    <mergeCell ref="M7:P7"/>
    <mergeCell ref="A7:A8"/>
    <mergeCell ref="B7:B8"/>
    <mergeCell ref="G7:G8"/>
    <mergeCell ref="C7:F7"/>
    <mergeCell ref="L7:L8"/>
  </mergeCells>
  <phoneticPr fontId="17" type="noConversion"/>
  <dataValidations count="3"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L24:L25 Q24:Q26 G23:G25">
      <formula1>-1000000000</formula1>
    </dataValidation>
    <dataValidation type="decimal" operator="greaterThan" allowBlank="1" showInputMessage="1" showErrorMessage="1" sqref="Q33 Q27:Q28 L26:L28 L33 G26:G28 G33 C12:F45 H12:K45 M12:P45">
      <formula1>-1000000000</formula1>
    </dataValidation>
    <dataValidation type="decimal" allowBlank="1" showInputMessage="1" showErrorMessage="1" sqref="G39 L39 Q39">
      <formula1>-1000000000</formula1>
      <formula2>1000000000000000</formula2>
    </dataValidation>
  </dataValidations>
  <pageMargins left="0.25" right="0.25" top="0.75" bottom="0.75" header="0.3" footer="0.3"/>
  <pageSetup paperSize="9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outlinePr summaryBelow="0"/>
    <pageSetUpPr fitToPage="1"/>
  </sheetPr>
  <dimension ref="A1:Q54"/>
  <sheetViews>
    <sheetView showGridLines="0" zoomScaleNormal="100" workbookViewId="0">
      <pane xSplit="2" ySplit="8" topLeftCell="D9" activePane="bottomRight" state="frozen"/>
      <selection pane="topRight" activeCell="C1" sqref="C1"/>
      <selection pane="bottomLeft" activeCell="A9" sqref="A9"/>
      <selection pane="bottomRight" activeCell="E18" sqref="E18"/>
    </sheetView>
  </sheetViews>
  <sheetFormatPr defaultRowHeight="15" outlineLevelRow="1" x14ac:dyDescent="0.25"/>
  <cols>
    <col min="1" max="1" width="51.85546875" customWidth="1"/>
    <col min="2" max="2" width="10.5703125" customWidth="1"/>
    <col min="3" max="17" width="13.85546875" customWidth="1"/>
  </cols>
  <sheetData>
    <row r="1" spans="1:17" x14ac:dyDescent="0.25">
      <c r="A1" s="131"/>
      <c r="B1" s="132" t="s">
        <v>10</v>
      </c>
    </row>
    <row r="2" spans="1:17" x14ac:dyDescent="0.25">
      <c r="A2" s="133" t="s">
        <v>9</v>
      </c>
      <c r="B2" s="134"/>
    </row>
    <row r="3" spans="1:17" x14ac:dyDescent="0.25">
      <c r="A3" s="133" t="s">
        <v>56</v>
      </c>
      <c r="B3" s="125"/>
    </row>
    <row r="4" spans="1:17" x14ac:dyDescent="0.25">
      <c r="A4" s="135"/>
      <c r="B4" s="136"/>
    </row>
    <row r="5" spans="1:17" ht="14.1" customHeight="1" x14ac:dyDescent="0.25">
      <c r="A5" s="135"/>
      <c r="B5" s="136"/>
    </row>
    <row r="6" spans="1:17" ht="15.75" thickBot="1" x14ac:dyDescent="0.3">
      <c r="A6" s="8"/>
    </row>
    <row r="7" spans="1:17" ht="18" customHeight="1" x14ac:dyDescent="0.25">
      <c r="A7" s="384" t="s">
        <v>15</v>
      </c>
      <c r="B7" s="371" t="s">
        <v>34</v>
      </c>
      <c r="C7" s="383" t="str">
        <f>YEAR(Date)&amp;" год"</f>
        <v>2019 год</v>
      </c>
      <c r="D7" s="365"/>
      <c r="E7" s="365"/>
      <c r="F7" s="368"/>
      <c r="G7" s="388" t="str">
        <f>C7</f>
        <v>2019 год</v>
      </c>
      <c r="H7" s="383" t="str">
        <f>(LEFT(C7,4)+1)&amp;" год"</f>
        <v>2020 год</v>
      </c>
      <c r="I7" s="365"/>
      <c r="J7" s="365"/>
      <c r="K7" s="368"/>
      <c r="L7" s="388" t="e">
        <f>ROUND(H7,3)</f>
        <v>#VALUE!</v>
      </c>
      <c r="M7" s="383" t="str">
        <f>(LEFT(H7,4)+1)&amp;" год"</f>
        <v>2021 год</v>
      </c>
      <c r="N7" s="365"/>
      <c r="O7" s="365"/>
      <c r="P7" s="368"/>
      <c r="Q7" s="388" t="str">
        <f>M7</f>
        <v>2021 год</v>
      </c>
    </row>
    <row r="8" spans="1:17" ht="15.75" thickBot="1" x14ac:dyDescent="0.3">
      <c r="A8" s="385"/>
      <c r="B8" s="372"/>
      <c r="C8" s="328" t="s">
        <v>0</v>
      </c>
      <c r="D8" s="329" t="s">
        <v>1</v>
      </c>
      <c r="E8" s="329" t="s">
        <v>2</v>
      </c>
      <c r="F8" s="330" t="s">
        <v>3</v>
      </c>
      <c r="G8" s="389"/>
      <c r="H8" s="328" t="s">
        <v>0</v>
      </c>
      <c r="I8" s="329" t="s">
        <v>1</v>
      </c>
      <c r="J8" s="329" t="s">
        <v>2</v>
      </c>
      <c r="K8" s="330" t="s">
        <v>3</v>
      </c>
      <c r="L8" s="389"/>
      <c r="M8" s="328" t="s">
        <v>0</v>
      </c>
      <c r="N8" s="329" t="s">
        <v>1</v>
      </c>
      <c r="O8" s="329" t="s">
        <v>2</v>
      </c>
      <c r="P8" s="331" t="s">
        <v>3</v>
      </c>
      <c r="Q8" s="389"/>
    </row>
    <row r="9" spans="1:17" x14ac:dyDescent="0.25">
      <c r="A9" s="255" t="s">
        <v>36</v>
      </c>
      <c r="B9" s="289" t="s">
        <v>101</v>
      </c>
      <c r="C9" s="270">
        <f>ROUND(G9,3)</f>
        <v>3.6</v>
      </c>
      <c r="D9" s="271">
        <f>ROUND(C47,3)</f>
        <v>3.6</v>
      </c>
      <c r="E9" s="271">
        <f>ROUND(D47,3)</f>
        <v>3.6</v>
      </c>
      <c r="F9" s="272">
        <f>ROUND(E47,3)</f>
        <v>3.6</v>
      </c>
      <c r="G9" s="115">
        <f>ROUND('1. Статистика'!AK42,3)</f>
        <v>3.6</v>
      </c>
      <c r="H9" s="270">
        <f>ROUND(L9,3)</f>
        <v>3.6</v>
      </c>
      <c r="I9" s="271">
        <f>ROUND(H47,3)</f>
        <v>3.6</v>
      </c>
      <c r="J9" s="271">
        <f>ROUND(I47,3)</f>
        <v>3.6</v>
      </c>
      <c r="K9" s="272">
        <f>ROUND(J47,3)</f>
        <v>3.6</v>
      </c>
      <c r="L9" s="115">
        <f>ROUND(F47,3)</f>
        <v>3.6</v>
      </c>
      <c r="M9" s="270">
        <f>ROUND(Q9,3)</f>
        <v>3.6</v>
      </c>
      <c r="N9" s="271">
        <f>ROUND(M47,3)</f>
        <v>3.6</v>
      </c>
      <c r="O9" s="271">
        <f>ROUND(N47,3)</f>
        <v>3.6</v>
      </c>
      <c r="P9" s="272">
        <f>ROUND(O47,3)</f>
        <v>3.6</v>
      </c>
      <c r="Q9" s="115">
        <f>ROUND(K47,3)</f>
        <v>3.6</v>
      </c>
    </row>
    <row r="10" spans="1:17" x14ac:dyDescent="0.25">
      <c r="A10" s="257" t="s">
        <v>103</v>
      </c>
      <c r="B10" s="290" t="s">
        <v>101</v>
      </c>
      <c r="C10" s="273">
        <f>ROUND(C11+C16,3)</f>
        <v>0</v>
      </c>
      <c r="D10" s="274">
        <f>ROUND(D11+D16,3)</f>
        <v>0</v>
      </c>
      <c r="E10" s="274">
        <f>ROUND(E11+E16,3)</f>
        <v>0</v>
      </c>
      <c r="F10" s="275">
        <f>ROUND(F11+F16,3)</f>
        <v>0</v>
      </c>
      <c r="G10" s="117">
        <f>ROUND(SUM(C10:F10),3)</f>
        <v>0</v>
      </c>
      <c r="H10" s="273">
        <f>ROUND(H11+H16,3)</f>
        <v>0</v>
      </c>
      <c r="I10" s="274">
        <f>ROUND(I11+I16,3)</f>
        <v>0</v>
      </c>
      <c r="J10" s="274">
        <f>ROUND(J11+J16,3)</f>
        <v>0</v>
      </c>
      <c r="K10" s="275">
        <f>ROUND(K11+K16,3)</f>
        <v>0</v>
      </c>
      <c r="L10" s="117">
        <f>ROUND(SUM(H10:K10),3)</f>
        <v>0</v>
      </c>
      <c r="M10" s="273">
        <f>ROUND(M11+M16,3)</f>
        <v>0</v>
      </c>
      <c r="N10" s="274">
        <f>ROUND(N11+N16,3)</f>
        <v>0</v>
      </c>
      <c r="O10" s="274">
        <f>ROUND(O11+O16,3)</f>
        <v>0</v>
      </c>
      <c r="P10" s="275">
        <f>ROUND(P11+P16,3)</f>
        <v>0</v>
      </c>
      <c r="Q10" s="117">
        <f>ROUND(SUM(M10:P10),3)</f>
        <v>0</v>
      </c>
    </row>
    <row r="11" spans="1:17" x14ac:dyDescent="0.25">
      <c r="A11" s="259" t="s">
        <v>78</v>
      </c>
      <c r="B11" s="290" t="s">
        <v>101</v>
      </c>
      <c r="C11" s="273">
        <f t="shared" ref="C11:Q11" si="0">ROUND(C12+C13-C14+C15,3)</f>
        <v>0</v>
      </c>
      <c r="D11" s="274">
        <f t="shared" si="0"/>
        <v>0</v>
      </c>
      <c r="E11" s="274">
        <f t="shared" si="0"/>
        <v>0</v>
      </c>
      <c r="F11" s="275">
        <f t="shared" si="0"/>
        <v>0</v>
      </c>
      <c r="G11" s="117">
        <f t="shared" si="0"/>
        <v>0</v>
      </c>
      <c r="H11" s="273">
        <f t="shared" si="0"/>
        <v>0</v>
      </c>
      <c r="I11" s="274">
        <f t="shared" si="0"/>
        <v>0</v>
      </c>
      <c r="J11" s="274">
        <f t="shared" si="0"/>
        <v>0</v>
      </c>
      <c r="K11" s="275">
        <f t="shared" si="0"/>
        <v>0</v>
      </c>
      <c r="L11" s="117">
        <f t="shared" si="0"/>
        <v>0</v>
      </c>
      <c r="M11" s="273">
        <f t="shared" si="0"/>
        <v>0</v>
      </c>
      <c r="N11" s="274">
        <f t="shared" si="0"/>
        <v>0</v>
      </c>
      <c r="O11" s="274">
        <f t="shared" si="0"/>
        <v>0</v>
      </c>
      <c r="P11" s="275">
        <f t="shared" si="0"/>
        <v>0</v>
      </c>
      <c r="Q11" s="117">
        <f t="shared" si="0"/>
        <v>0</v>
      </c>
    </row>
    <row r="12" spans="1:17" s="2" customFormat="1" ht="30" outlineLevel="1" x14ac:dyDescent="0.25">
      <c r="A12" s="80" t="s">
        <v>41</v>
      </c>
      <c r="B12" s="223" t="s">
        <v>101</v>
      </c>
      <c r="C12" s="118">
        <f>ROUND('1. Статистика'!N22,3)</f>
        <v>0</v>
      </c>
      <c r="D12" s="119">
        <f>ROUND('1. Статистика'!O22,3)</f>
        <v>0</v>
      </c>
      <c r="E12" s="119">
        <f>ROUND('1. Статистика'!P22,3)</f>
        <v>0</v>
      </c>
      <c r="F12" s="120">
        <f>ROUND('1. Статистика'!Q22,3)</f>
        <v>0</v>
      </c>
      <c r="G12" s="121">
        <f>ROUND(SUM(C12:F12),3)</f>
        <v>0</v>
      </c>
      <c r="H12" s="118">
        <f>ROUND(C11,3)</f>
        <v>0</v>
      </c>
      <c r="I12" s="119">
        <f>ROUND(D11,3)</f>
        <v>0</v>
      </c>
      <c r="J12" s="119">
        <f>ROUND(E11,3)</f>
        <v>0</v>
      </c>
      <c r="K12" s="120">
        <f>ROUND(F11,3)</f>
        <v>0</v>
      </c>
      <c r="L12" s="121">
        <f>ROUND(SUM(H12:K12),3)</f>
        <v>0</v>
      </c>
      <c r="M12" s="118">
        <f>ROUND(H11,3)</f>
        <v>0</v>
      </c>
      <c r="N12" s="119">
        <f>ROUND(I11,3)</f>
        <v>0</v>
      </c>
      <c r="O12" s="119">
        <f>ROUND(J11,3)</f>
        <v>0</v>
      </c>
      <c r="P12" s="120">
        <f>ROUND(K11,3)</f>
        <v>0</v>
      </c>
      <c r="Q12" s="121">
        <f>ROUND(SUM(M12:P12),3)</f>
        <v>0</v>
      </c>
    </row>
    <row r="13" spans="1:17" s="2" customFormat="1" ht="28.5" customHeight="1" outlineLevel="1" x14ac:dyDescent="0.25">
      <c r="A13" s="80" t="s">
        <v>42</v>
      </c>
      <c r="B13" s="223" t="s">
        <v>101</v>
      </c>
      <c r="C13" s="118">
        <f>ROUND('1. Статистика'!D11,3)</f>
        <v>0</v>
      </c>
      <c r="D13" s="119">
        <f>ROUND('1. Статистика'!E11,3)</f>
        <v>0</v>
      </c>
      <c r="E13" s="119">
        <f>ROUND('1. Статистика'!F11,3)</f>
        <v>0</v>
      </c>
      <c r="F13" s="120">
        <f>ROUND('1. Статистика'!G11,3)</f>
        <v>0</v>
      </c>
      <c r="G13" s="121">
        <f>ROUND(SUM(C13:F13),3)</f>
        <v>0</v>
      </c>
      <c r="H13" s="118">
        <f>ROUND('1. Статистика'!I11,3)</f>
        <v>0</v>
      </c>
      <c r="I13" s="119">
        <f>ROUND('1. Статистика'!J11,3)</f>
        <v>0</v>
      </c>
      <c r="J13" s="119">
        <f>ROUND('1. Статистика'!K11,3)</f>
        <v>0</v>
      </c>
      <c r="K13" s="120">
        <f>ROUND('1. Статистика'!L11,3)</f>
        <v>0</v>
      </c>
      <c r="L13" s="121">
        <f>ROUND(SUM(H13:K13),3)</f>
        <v>0</v>
      </c>
      <c r="M13" s="118">
        <f>ROUND('1. Статистика'!N11,3)</f>
        <v>0</v>
      </c>
      <c r="N13" s="119">
        <f>ROUND('1. Статистика'!O11,3)</f>
        <v>0</v>
      </c>
      <c r="O13" s="119">
        <f>ROUND('1. Статистика'!P11,3)</f>
        <v>0</v>
      </c>
      <c r="P13" s="120">
        <f>ROUND('1. Статистика'!Q11,3)</f>
        <v>0</v>
      </c>
      <c r="Q13" s="121">
        <f>ROUND(SUM(M13:P13),3)</f>
        <v>0</v>
      </c>
    </row>
    <row r="14" spans="1:17" s="2" customFormat="1" ht="30" outlineLevel="1" x14ac:dyDescent="0.25">
      <c r="A14" s="80" t="s">
        <v>43</v>
      </c>
      <c r="B14" s="223" t="s">
        <v>101</v>
      </c>
      <c r="C14" s="118">
        <f>ROUND('2. Прогноз. Без корректировки'!C14,3)</f>
        <v>0</v>
      </c>
      <c r="D14" s="119">
        <f>ROUND('2. Прогноз. Без корректировки'!D14,3)</f>
        <v>0</v>
      </c>
      <c r="E14" s="119">
        <f>ROUND('2. Прогноз. Без корректировки'!E14,3)</f>
        <v>0</v>
      </c>
      <c r="F14" s="120">
        <f>ROUND('2. Прогноз. Без корректировки'!F14,3)</f>
        <v>0</v>
      </c>
      <c r="G14" s="121">
        <f>ROUND(SUM(C14:F14),3)</f>
        <v>0</v>
      </c>
      <c r="H14" s="118">
        <f>ROUND('2. Прогноз. Без корректировки'!H14,3)</f>
        <v>0</v>
      </c>
      <c r="I14" s="119">
        <f>ROUND('2. Прогноз. Без корректировки'!I14,3)</f>
        <v>0</v>
      </c>
      <c r="J14" s="119">
        <f>ROUND('2. Прогноз. Без корректировки'!J14,3)</f>
        <v>0</v>
      </c>
      <c r="K14" s="120">
        <f>ROUND('2. Прогноз. Без корректировки'!K14,3)</f>
        <v>0</v>
      </c>
      <c r="L14" s="121">
        <f>ROUND(SUM(H14:K14),3)</f>
        <v>0</v>
      </c>
      <c r="M14" s="118">
        <f>ROUND('2. Прогноз. Без корректировки'!M14,3)</f>
        <v>0</v>
      </c>
      <c r="N14" s="119">
        <f>ROUND('2. Прогноз. Без корректировки'!N14,3)</f>
        <v>0</v>
      </c>
      <c r="O14" s="119">
        <f>ROUND('2. Прогноз. Без корректировки'!O14,3)</f>
        <v>0</v>
      </c>
      <c r="P14" s="120">
        <f>ROUND('2. Прогноз. Без корректировки'!P14,3)</f>
        <v>0</v>
      </c>
      <c r="Q14" s="121">
        <f>ROUND(SUM(M14:P14),3)</f>
        <v>0</v>
      </c>
    </row>
    <row r="15" spans="1:17" s="2" customFormat="1" ht="30" outlineLevel="1" x14ac:dyDescent="0.25">
      <c r="A15" s="80" t="s">
        <v>44</v>
      </c>
      <c r="B15" s="223" t="s">
        <v>101</v>
      </c>
      <c r="C15" s="118">
        <f>ROUND('2. Прогноз. Без корректировки'!C15,3)</f>
        <v>0</v>
      </c>
      <c r="D15" s="119">
        <f>ROUND('2. Прогноз. Без корректировки'!D15,3)</f>
        <v>0</v>
      </c>
      <c r="E15" s="119">
        <f>ROUND('2. Прогноз. Без корректировки'!E15,3)</f>
        <v>0</v>
      </c>
      <c r="F15" s="120">
        <f>ROUND('2. Прогноз. Без корректировки'!F15,3)</f>
        <v>0</v>
      </c>
      <c r="G15" s="121">
        <f>ROUND(SUM(C15:F15),3)</f>
        <v>0</v>
      </c>
      <c r="H15" s="118">
        <f>ROUND('2. Прогноз. Без корректировки'!H15,3)</f>
        <v>0</v>
      </c>
      <c r="I15" s="119">
        <f>ROUND('2. Прогноз. Без корректировки'!I15,3)</f>
        <v>0</v>
      </c>
      <c r="J15" s="119">
        <f>ROUND('2. Прогноз. Без корректировки'!J15,3)</f>
        <v>0</v>
      </c>
      <c r="K15" s="120">
        <f>ROUND('2. Прогноз. Без корректировки'!K15,3)</f>
        <v>0</v>
      </c>
      <c r="L15" s="121">
        <f>ROUND(SUM(H15:K15),3)</f>
        <v>0</v>
      </c>
      <c r="M15" s="118">
        <f>ROUND('2. Прогноз. Без корректировки'!M15,3)</f>
        <v>0</v>
      </c>
      <c r="N15" s="119">
        <f>ROUND('2. Прогноз. Без корректировки'!N15,3)</f>
        <v>0</v>
      </c>
      <c r="O15" s="119">
        <f>ROUND('2. Прогноз. Без корректировки'!O15,3)</f>
        <v>0</v>
      </c>
      <c r="P15" s="120">
        <f>ROUND('2. Прогноз. Без корректировки'!P15,3)</f>
        <v>0</v>
      </c>
      <c r="Q15" s="121">
        <f>ROUND(SUM(M15:P15),3)</f>
        <v>0</v>
      </c>
    </row>
    <row r="16" spans="1:17" x14ac:dyDescent="0.25">
      <c r="A16" s="259" t="s">
        <v>82</v>
      </c>
      <c r="B16" s="267"/>
      <c r="C16" s="273">
        <f t="shared" ref="C16:Q16" si="1">ROUND(C17+C18-C19+C20,3)</f>
        <v>0</v>
      </c>
      <c r="D16" s="274">
        <f t="shared" si="1"/>
        <v>0</v>
      </c>
      <c r="E16" s="274">
        <f t="shared" si="1"/>
        <v>0</v>
      </c>
      <c r="F16" s="275">
        <f t="shared" si="1"/>
        <v>0</v>
      </c>
      <c r="G16" s="117">
        <f t="shared" si="1"/>
        <v>0</v>
      </c>
      <c r="H16" s="273">
        <f t="shared" si="1"/>
        <v>0</v>
      </c>
      <c r="I16" s="274">
        <f t="shared" si="1"/>
        <v>0</v>
      </c>
      <c r="J16" s="274">
        <f t="shared" si="1"/>
        <v>0</v>
      </c>
      <c r="K16" s="275">
        <f t="shared" si="1"/>
        <v>0</v>
      </c>
      <c r="L16" s="117">
        <f t="shared" si="1"/>
        <v>0</v>
      </c>
      <c r="M16" s="273">
        <f t="shared" si="1"/>
        <v>0</v>
      </c>
      <c r="N16" s="274">
        <f t="shared" si="1"/>
        <v>0</v>
      </c>
      <c r="O16" s="274">
        <f t="shared" si="1"/>
        <v>0</v>
      </c>
      <c r="P16" s="275">
        <f t="shared" si="1"/>
        <v>0</v>
      </c>
      <c r="Q16" s="117">
        <f t="shared" si="1"/>
        <v>0</v>
      </c>
    </row>
    <row r="17" spans="1:17" s="2" customFormat="1" ht="30" outlineLevel="1" x14ac:dyDescent="0.25">
      <c r="A17" s="80" t="s">
        <v>41</v>
      </c>
      <c r="B17" s="223" t="s">
        <v>101</v>
      </c>
      <c r="C17" s="118">
        <f>ROUND('1. Статистика'!N23,3)</f>
        <v>0</v>
      </c>
      <c r="D17" s="119">
        <f>ROUND('1. Статистика'!O23,3)</f>
        <v>0</v>
      </c>
      <c r="E17" s="119">
        <f>ROUND('1. Статистика'!P23,3)</f>
        <v>0</v>
      </c>
      <c r="F17" s="120">
        <f>ROUND('1. Статистика'!Q23,3)</f>
        <v>0</v>
      </c>
      <c r="G17" s="121">
        <f>ROUND(SUM(C17:F17),3)</f>
        <v>0</v>
      </c>
      <c r="H17" s="118">
        <f>ROUND(C16,3)</f>
        <v>0</v>
      </c>
      <c r="I17" s="119">
        <f>ROUND(D16,3)</f>
        <v>0</v>
      </c>
      <c r="J17" s="119">
        <f>ROUND(E16,3)</f>
        <v>0</v>
      </c>
      <c r="K17" s="120">
        <f>ROUND(F16,3)</f>
        <v>0</v>
      </c>
      <c r="L17" s="121">
        <f>ROUND(SUM(H17:K17),3)</f>
        <v>0</v>
      </c>
      <c r="M17" s="118">
        <f>ROUND(H16,3)</f>
        <v>0</v>
      </c>
      <c r="N17" s="119">
        <f>ROUND(I16,3)</f>
        <v>0</v>
      </c>
      <c r="O17" s="119">
        <f>ROUND(J16,3)</f>
        <v>0</v>
      </c>
      <c r="P17" s="120">
        <f>ROUND(K16,3)</f>
        <v>0</v>
      </c>
      <c r="Q17" s="121">
        <f>ROUND(SUM(M17:P17),3)</f>
        <v>0</v>
      </c>
    </row>
    <row r="18" spans="1:17" s="2" customFormat="1" ht="28.5" customHeight="1" outlineLevel="1" x14ac:dyDescent="0.25">
      <c r="A18" s="80" t="s">
        <v>42</v>
      </c>
      <c r="B18" s="223" t="s">
        <v>101</v>
      </c>
      <c r="C18" s="118">
        <f>ROUND('1. Статистика'!D12,3)</f>
        <v>0</v>
      </c>
      <c r="D18" s="119">
        <f>ROUND('1. Статистика'!E12,3)</f>
        <v>0</v>
      </c>
      <c r="E18" s="119">
        <f>ROUND('1. Статистика'!F12,3)</f>
        <v>0</v>
      </c>
      <c r="F18" s="120">
        <f>ROUND('1. Статистика'!G12,3)</f>
        <v>0</v>
      </c>
      <c r="G18" s="121">
        <f>ROUND(SUM(C18:F18),3)</f>
        <v>0</v>
      </c>
      <c r="H18" s="118">
        <f>ROUND('1. Статистика'!I12,3)</f>
        <v>0</v>
      </c>
      <c r="I18" s="119">
        <f>ROUND('1. Статистика'!J12,3)</f>
        <v>0</v>
      </c>
      <c r="J18" s="119">
        <f>ROUND('1. Статистика'!K12,3)</f>
        <v>0</v>
      </c>
      <c r="K18" s="120">
        <f>ROUND('1. Статистика'!L12,3)</f>
        <v>0</v>
      </c>
      <c r="L18" s="121">
        <f>ROUND(SUM(H18:K18),3)</f>
        <v>0</v>
      </c>
      <c r="M18" s="118">
        <f>ROUND('1. Статистика'!N12,3)</f>
        <v>0</v>
      </c>
      <c r="N18" s="119">
        <f>ROUND('1. Статистика'!O12,3)</f>
        <v>0</v>
      </c>
      <c r="O18" s="119">
        <f>ROUND('1. Статистика'!P12,3)</f>
        <v>0</v>
      </c>
      <c r="P18" s="120">
        <f>ROUND('1. Статистика'!Q12,3)</f>
        <v>0</v>
      </c>
      <c r="Q18" s="121">
        <f>ROUND(SUM(M18:P18),3)</f>
        <v>0</v>
      </c>
    </row>
    <row r="19" spans="1:17" s="2" customFormat="1" ht="30" outlineLevel="1" x14ac:dyDescent="0.25">
      <c r="A19" s="80" t="s">
        <v>43</v>
      </c>
      <c r="B19" s="223" t="s">
        <v>101</v>
      </c>
      <c r="C19" s="118">
        <f>ROUND('2. Прогноз. Без корректировки'!C19,3)</f>
        <v>0</v>
      </c>
      <c r="D19" s="119">
        <f>ROUND('2. Прогноз. Без корректировки'!D19,3)</f>
        <v>0</v>
      </c>
      <c r="E19" s="119">
        <f>ROUND('2. Прогноз. Без корректировки'!E19,3)</f>
        <v>0</v>
      </c>
      <c r="F19" s="120">
        <f>ROUND('2. Прогноз. Без корректировки'!F19,3)</f>
        <v>0</v>
      </c>
      <c r="G19" s="121">
        <f>ROUND(SUM(C19:F19),3)</f>
        <v>0</v>
      </c>
      <c r="H19" s="118">
        <f>ROUND('2. Прогноз. Без корректировки'!H19,3)</f>
        <v>0</v>
      </c>
      <c r="I19" s="119">
        <f>ROUND('2. Прогноз. Без корректировки'!I19,3)</f>
        <v>0</v>
      </c>
      <c r="J19" s="119">
        <f>ROUND('2. Прогноз. Без корректировки'!J19,3)</f>
        <v>0</v>
      </c>
      <c r="K19" s="120">
        <f>ROUND('2. Прогноз. Без корректировки'!K19,3)</f>
        <v>0</v>
      </c>
      <c r="L19" s="121">
        <f>ROUND(SUM(H19:K19),3)</f>
        <v>0</v>
      </c>
      <c r="M19" s="118">
        <f>ROUND('2. Прогноз. Без корректировки'!M19,3)</f>
        <v>0</v>
      </c>
      <c r="N19" s="119">
        <f>ROUND('2. Прогноз. Без корректировки'!N19,3)</f>
        <v>0</v>
      </c>
      <c r="O19" s="119">
        <f>ROUND('2. Прогноз. Без корректировки'!O19,3)</f>
        <v>0</v>
      </c>
      <c r="P19" s="120">
        <f>ROUND('2. Прогноз. Без корректировки'!P19,3)</f>
        <v>0</v>
      </c>
      <c r="Q19" s="121">
        <f>ROUND(SUM(M19:P19),3)</f>
        <v>0</v>
      </c>
    </row>
    <row r="20" spans="1:17" s="2" customFormat="1" ht="30" outlineLevel="1" x14ac:dyDescent="0.25">
      <c r="A20" s="80" t="s">
        <v>44</v>
      </c>
      <c r="B20" s="223" t="s">
        <v>101</v>
      </c>
      <c r="C20" s="118">
        <f>ROUND('2. Прогноз. Без корректировки'!C20,3)</f>
        <v>0</v>
      </c>
      <c r="D20" s="119">
        <f>ROUND('2. Прогноз. Без корректировки'!D20,3)</f>
        <v>0</v>
      </c>
      <c r="E20" s="119">
        <f>ROUND('2. Прогноз. Без корректировки'!E20,3)</f>
        <v>0</v>
      </c>
      <c r="F20" s="120">
        <f>ROUND('2. Прогноз. Без корректировки'!F20,3)</f>
        <v>0</v>
      </c>
      <c r="G20" s="121">
        <f>ROUND(SUM(C20:F20),3)</f>
        <v>0</v>
      </c>
      <c r="H20" s="118">
        <f>ROUND('2. Прогноз. Без корректировки'!H20,3)</f>
        <v>0</v>
      </c>
      <c r="I20" s="119">
        <f>ROUND('2. Прогноз. Без корректировки'!I20,3)</f>
        <v>0</v>
      </c>
      <c r="J20" s="119">
        <f>ROUND('2. Прогноз. Без корректировки'!J20,3)</f>
        <v>0</v>
      </c>
      <c r="K20" s="120">
        <f>ROUND('2. Прогноз. Без корректировки'!K20,3)</f>
        <v>0</v>
      </c>
      <c r="L20" s="121">
        <f>ROUND(SUM(H20:K20),3)</f>
        <v>0</v>
      </c>
      <c r="M20" s="118">
        <f>ROUND('2. Прогноз. Без корректировки'!M20,3)</f>
        <v>0</v>
      </c>
      <c r="N20" s="119">
        <f>ROUND('2. Прогноз. Без корректировки'!N20,3)</f>
        <v>0</v>
      </c>
      <c r="O20" s="119">
        <f>ROUND('2. Прогноз. Без корректировки'!O20,3)</f>
        <v>0</v>
      </c>
      <c r="P20" s="120">
        <f>ROUND('2. Прогноз. Без корректировки'!P20,3)</f>
        <v>0</v>
      </c>
      <c r="Q20" s="121">
        <f>ROUND(SUM(M20:P20),3)</f>
        <v>0</v>
      </c>
    </row>
    <row r="21" spans="1:17" outlineLevel="1" x14ac:dyDescent="0.25">
      <c r="A21" s="157" t="s">
        <v>75</v>
      </c>
      <c r="B21" s="224" t="s">
        <v>101</v>
      </c>
      <c r="C21" s="123">
        <f>ROUND('2. Прогноз. Без корректировки'!C21,3)</f>
        <v>0</v>
      </c>
      <c r="D21" s="123">
        <f>ROUND('2. Прогноз. Без корректировки'!D21,3)</f>
        <v>0</v>
      </c>
      <c r="E21" s="123">
        <f>ROUND('2. Прогноз. Без корректировки'!E21,3)</f>
        <v>0</v>
      </c>
      <c r="F21" s="123">
        <f>ROUND('2. Прогноз. Без корректировки'!F21,3)</f>
        <v>0</v>
      </c>
      <c r="G21" s="122">
        <f>ROUND(SUM(C21:F21),3)</f>
        <v>0</v>
      </c>
      <c r="H21" s="123">
        <f>ROUND('2. Прогноз. Без корректировки'!H21,3)</f>
        <v>0</v>
      </c>
      <c r="I21" s="123">
        <f>ROUND('2. Прогноз. Без корректировки'!I21,3)</f>
        <v>0</v>
      </c>
      <c r="J21" s="123">
        <f>ROUND('2. Прогноз. Без корректировки'!J21,3)</f>
        <v>0</v>
      </c>
      <c r="K21" s="123">
        <f>ROUND('2. Прогноз. Без корректировки'!K21,3)</f>
        <v>0</v>
      </c>
      <c r="L21" s="122">
        <f>ROUND(SUM(H21:K21),3)</f>
        <v>0</v>
      </c>
      <c r="M21" s="123">
        <f>ROUND('2. Прогноз. Без корректировки'!M21,3)</f>
        <v>0</v>
      </c>
      <c r="N21" s="123">
        <f>ROUND('2. Прогноз. Без корректировки'!N21,3)</f>
        <v>0</v>
      </c>
      <c r="O21" s="123">
        <f>ROUND('2. Прогноз. Без корректировки'!O21,3)</f>
        <v>0</v>
      </c>
      <c r="P21" s="123">
        <f>ROUND('2. Прогноз. Без корректировки'!P21,3)</f>
        <v>0</v>
      </c>
      <c r="Q21" s="122">
        <f>ROUND(SUM(M21:P21),3)</f>
        <v>0</v>
      </c>
    </row>
    <row r="22" spans="1:17" outlineLevel="1" x14ac:dyDescent="0.25">
      <c r="A22" s="157" t="s">
        <v>76</v>
      </c>
      <c r="B22" s="224" t="s">
        <v>102</v>
      </c>
      <c r="C22" s="276"/>
      <c r="D22" s="277"/>
      <c r="E22" s="277"/>
      <c r="F22" s="277"/>
      <c r="G22" s="320">
        <f>ROUND('2. Прогноз. Без корректировки'!G22,3)</f>
        <v>0</v>
      </c>
      <c r="H22" s="277"/>
      <c r="I22" s="277"/>
      <c r="J22" s="277"/>
      <c r="K22" s="277"/>
      <c r="L22" s="320">
        <f>ROUND('2. Прогноз. Без корректировки'!L22,3)</f>
        <v>0</v>
      </c>
      <c r="M22" s="277"/>
      <c r="N22" s="277"/>
      <c r="O22" s="277"/>
      <c r="P22" s="277"/>
      <c r="Q22" s="320">
        <f>ROUND('2. Прогноз. Без корректировки'!Q22,3)</f>
        <v>0</v>
      </c>
    </row>
    <row r="23" spans="1:17" x14ac:dyDescent="0.25">
      <c r="A23" s="257" t="s">
        <v>37</v>
      </c>
      <c r="B23" s="258" t="s">
        <v>101</v>
      </c>
      <c r="C23" s="273">
        <f>ROUND(C24+C25,3)</f>
        <v>12.368</v>
      </c>
      <c r="D23" s="274">
        <f>ROUND(D24+D25,3)</f>
        <v>11.233000000000001</v>
      </c>
      <c r="E23" s="274">
        <f>ROUND(E24+E25,3)</f>
        <v>11.75</v>
      </c>
      <c r="F23" s="275">
        <f>ROUND(F24+F25,3)</f>
        <v>11.388</v>
      </c>
      <c r="G23" s="117">
        <f>ROUND(SUM(G24:G25),3)</f>
        <v>46.738999999999997</v>
      </c>
      <c r="H23" s="273">
        <f>ROUND(H24+H25,3)</f>
        <v>12.448</v>
      </c>
      <c r="I23" s="274">
        <f>ROUND(I24+I25,3)</f>
        <v>11.233000000000001</v>
      </c>
      <c r="J23" s="274">
        <f>ROUND(J24+J25,3)</f>
        <v>11.75</v>
      </c>
      <c r="K23" s="275">
        <f>ROUND(K24+K25,3)</f>
        <v>11.388</v>
      </c>
      <c r="L23" s="117">
        <f>ROUND(SUM(L24:L25),3)</f>
        <v>46.819000000000003</v>
      </c>
      <c r="M23" s="273">
        <f>ROUND(M24+M25,3)</f>
        <v>12.448</v>
      </c>
      <c r="N23" s="274">
        <f>ROUND(N24+N25,3)</f>
        <v>11.233000000000001</v>
      </c>
      <c r="O23" s="274">
        <f>ROUND(O24+O25,3)</f>
        <v>11.75</v>
      </c>
      <c r="P23" s="275">
        <f>ROUND(P24+P25,3)</f>
        <v>11.388</v>
      </c>
      <c r="Q23" s="117">
        <f>ROUND(SUM(Q24:Q25),3)</f>
        <v>46.819000000000003</v>
      </c>
    </row>
    <row r="24" spans="1:17" s="2" customFormat="1" outlineLevel="1" x14ac:dyDescent="0.25">
      <c r="A24" s="220" t="s">
        <v>38</v>
      </c>
      <c r="B24" s="223" t="s">
        <v>101</v>
      </c>
      <c r="C24" s="118">
        <f>ROUND('1. Статистика'!N24,3)</f>
        <v>12.368</v>
      </c>
      <c r="D24" s="119">
        <f>ROUND('1. Статистика'!O24,3)</f>
        <v>11.003</v>
      </c>
      <c r="E24" s="119">
        <f>ROUND('1. Статистика'!P24,3)</f>
        <v>11.55</v>
      </c>
      <c r="F24" s="120">
        <f>ROUND('1. Статистика'!Q24,3)</f>
        <v>11.278</v>
      </c>
      <c r="G24" s="121">
        <f>ROUND(SUM(C24:F24),3)</f>
        <v>46.198999999999998</v>
      </c>
      <c r="H24" s="118">
        <f>ROUND(C23,3)</f>
        <v>12.368</v>
      </c>
      <c r="I24" s="119">
        <f>ROUND(D23,3)</f>
        <v>11.233000000000001</v>
      </c>
      <c r="J24" s="119">
        <f>ROUND(E23,3)</f>
        <v>11.75</v>
      </c>
      <c r="K24" s="120">
        <f>ROUND(F23,3)</f>
        <v>11.388</v>
      </c>
      <c r="L24" s="121">
        <f>ROUND(SUM(H24:K24),3)</f>
        <v>46.738999999999997</v>
      </c>
      <c r="M24" s="118">
        <f>ROUND(H23,3)</f>
        <v>12.448</v>
      </c>
      <c r="N24" s="119">
        <f>ROUND(I23,3)</f>
        <v>11.233000000000001</v>
      </c>
      <c r="O24" s="119">
        <f>ROUND(J23,3)</f>
        <v>11.75</v>
      </c>
      <c r="P24" s="120">
        <f>ROUND(K23,3)</f>
        <v>11.388</v>
      </c>
      <c r="Q24" s="121">
        <f>ROUND(SUM(M24:P24),3)</f>
        <v>46.819000000000003</v>
      </c>
    </row>
    <row r="25" spans="1:17" s="2" customFormat="1" outlineLevel="1" x14ac:dyDescent="0.25">
      <c r="A25" s="220" t="s">
        <v>39</v>
      </c>
      <c r="B25" s="223" t="s">
        <v>101</v>
      </c>
      <c r="C25" s="118">
        <f>ROUND('1. Статистика'!C68-C24,3)</f>
        <v>0</v>
      </c>
      <c r="D25" s="119">
        <f>ROUND('1. Статистика'!D68-D24,3)</f>
        <v>0.23</v>
      </c>
      <c r="E25" s="119">
        <f>ROUND('1. Статистика'!E68-E24,3)</f>
        <v>0.2</v>
      </c>
      <c r="F25" s="120">
        <f>ROUND('1. Статистика'!F68-F24,3)</f>
        <v>0.11</v>
      </c>
      <c r="G25" s="121">
        <f>ROUND(SUM(C25:F25),3)</f>
        <v>0.54</v>
      </c>
      <c r="H25" s="118">
        <f>ROUND('1. Статистика'!G68-H24,3)</f>
        <v>0.08</v>
      </c>
      <c r="I25" s="119">
        <f>ROUND('1. Статистика'!H68-I24,3)</f>
        <v>0</v>
      </c>
      <c r="J25" s="119">
        <f>ROUND('1. Статистика'!I68-J24,3)</f>
        <v>0</v>
      </c>
      <c r="K25" s="120">
        <f>ROUND('1. Статистика'!J68-K24,3)</f>
        <v>0</v>
      </c>
      <c r="L25" s="121">
        <f>ROUND(SUM(H25:K25),3)</f>
        <v>0.08</v>
      </c>
      <c r="M25" s="118">
        <f>ROUND('1. Статистика'!K68-M24,3)</f>
        <v>0</v>
      </c>
      <c r="N25" s="119">
        <f>ROUND('1. Статистика'!L68-N24,3)</f>
        <v>0</v>
      </c>
      <c r="O25" s="119">
        <f>ROUND('1. Статистика'!M68-O24,3)</f>
        <v>0</v>
      </c>
      <c r="P25" s="120">
        <f>ROUND('1. Статистика'!N68-P24,3)</f>
        <v>0</v>
      </c>
      <c r="Q25" s="121">
        <f>ROUND(SUM(M25:P25),3)</f>
        <v>0</v>
      </c>
    </row>
    <row r="26" spans="1:17" x14ac:dyDescent="0.25">
      <c r="A26" s="260" t="s">
        <v>35</v>
      </c>
      <c r="B26" s="261" t="s">
        <v>101</v>
      </c>
      <c r="C26" s="279">
        <f t="shared" ref="C26:Q26" si="2">ROUND(C9+C10+C23,3)</f>
        <v>15.968</v>
      </c>
      <c r="D26" s="280">
        <f t="shared" si="2"/>
        <v>14.833</v>
      </c>
      <c r="E26" s="280">
        <f t="shared" si="2"/>
        <v>15.35</v>
      </c>
      <c r="F26" s="281">
        <f t="shared" si="2"/>
        <v>14.988</v>
      </c>
      <c r="G26" s="129">
        <f t="shared" si="2"/>
        <v>50.338999999999999</v>
      </c>
      <c r="H26" s="279">
        <f t="shared" si="2"/>
        <v>16.047999999999998</v>
      </c>
      <c r="I26" s="280">
        <f t="shared" si="2"/>
        <v>14.833</v>
      </c>
      <c r="J26" s="280">
        <f t="shared" si="2"/>
        <v>15.35</v>
      </c>
      <c r="K26" s="281">
        <f t="shared" si="2"/>
        <v>14.988</v>
      </c>
      <c r="L26" s="129">
        <f t="shared" si="2"/>
        <v>50.418999999999997</v>
      </c>
      <c r="M26" s="279">
        <f t="shared" si="2"/>
        <v>16.047999999999998</v>
      </c>
      <c r="N26" s="280">
        <f t="shared" si="2"/>
        <v>14.833</v>
      </c>
      <c r="O26" s="280">
        <f t="shared" si="2"/>
        <v>15.35</v>
      </c>
      <c r="P26" s="281">
        <f t="shared" si="2"/>
        <v>14.988</v>
      </c>
      <c r="Q26" s="129">
        <f t="shared" si="2"/>
        <v>50.418999999999997</v>
      </c>
    </row>
    <row r="27" spans="1:17" x14ac:dyDescent="0.25">
      <c r="A27" s="257" t="s">
        <v>69</v>
      </c>
      <c r="B27" s="262" t="s">
        <v>101</v>
      </c>
      <c r="C27" s="273">
        <f>ROUND(C28+C33,3)</f>
        <v>2.1880000000000002</v>
      </c>
      <c r="D27" s="274">
        <f>ROUND(D28+D33,3)</f>
        <v>1.0509999999999999</v>
      </c>
      <c r="E27" s="274">
        <f>ROUND(E28+E33,3)</f>
        <v>1.5680000000000001</v>
      </c>
      <c r="F27" s="275">
        <f>ROUND(F28+F33,3)</f>
        <v>1.204</v>
      </c>
      <c r="G27" s="117">
        <f>ROUND(SUM(C27:F27),3)</f>
        <v>6.0110000000000001</v>
      </c>
      <c r="H27" s="273">
        <f>ROUND(H28+H33,3)</f>
        <v>2.2679999999999998</v>
      </c>
      <c r="I27" s="274">
        <f>ROUND(I28+I33,3)</f>
        <v>1.0509999999999999</v>
      </c>
      <c r="J27" s="274">
        <f>ROUND(J28+J33,3)</f>
        <v>1.5680000000000001</v>
      </c>
      <c r="K27" s="275">
        <f>ROUND(K28+K33,3)</f>
        <v>1.204</v>
      </c>
      <c r="L27" s="117">
        <f>ROUND(SUM(H27:K27),3)</f>
        <v>6.0910000000000002</v>
      </c>
      <c r="M27" s="273">
        <f>ROUND(M28+M33,3)</f>
        <v>2.2679999999999998</v>
      </c>
      <c r="N27" s="274">
        <f>ROUND(N28+N33,3)</f>
        <v>1.0509999999999999</v>
      </c>
      <c r="O27" s="274">
        <f>ROUND(O28+O33,3)</f>
        <v>1.5680000000000001</v>
      </c>
      <c r="P27" s="275">
        <f>ROUND(P28+P33,3)</f>
        <v>1.204</v>
      </c>
      <c r="Q27" s="117">
        <f>ROUND(SUM(M27:P27),3)</f>
        <v>6.0910000000000002</v>
      </c>
    </row>
    <row r="28" spans="1:17" x14ac:dyDescent="0.25">
      <c r="A28" s="263" t="s">
        <v>68</v>
      </c>
      <c r="B28" s="262" t="s">
        <v>101</v>
      </c>
      <c r="C28" s="273">
        <f t="shared" ref="C28:Q28" si="3">ROUND(C29+C30-C31+C32,3)</f>
        <v>2.1880000000000002</v>
      </c>
      <c r="D28" s="274">
        <f t="shared" si="3"/>
        <v>1.0509999999999999</v>
      </c>
      <c r="E28" s="274">
        <f t="shared" si="3"/>
        <v>1.5680000000000001</v>
      </c>
      <c r="F28" s="275">
        <f t="shared" si="3"/>
        <v>1.204</v>
      </c>
      <c r="G28" s="117">
        <f t="shared" si="3"/>
        <v>6.0110000000000001</v>
      </c>
      <c r="H28" s="273">
        <f t="shared" si="3"/>
        <v>2.2679999999999998</v>
      </c>
      <c r="I28" s="274">
        <f t="shared" si="3"/>
        <v>1.0509999999999999</v>
      </c>
      <c r="J28" s="274">
        <f t="shared" si="3"/>
        <v>1.5680000000000001</v>
      </c>
      <c r="K28" s="275">
        <f t="shared" si="3"/>
        <v>1.204</v>
      </c>
      <c r="L28" s="117">
        <f t="shared" si="3"/>
        <v>6.0910000000000002</v>
      </c>
      <c r="M28" s="273">
        <f t="shared" si="3"/>
        <v>2.2679999999999998</v>
      </c>
      <c r="N28" s="274">
        <f t="shared" si="3"/>
        <v>1.0509999999999999</v>
      </c>
      <c r="O28" s="274">
        <f t="shared" si="3"/>
        <v>1.5680000000000001</v>
      </c>
      <c r="P28" s="275">
        <f t="shared" si="3"/>
        <v>1.204</v>
      </c>
      <c r="Q28" s="117">
        <f t="shared" si="3"/>
        <v>6.0910000000000002</v>
      </c>
    </row>
    <row r="29" spans="1:17" s="2" customFormat="1" ht="30" outlineLevel="1" x14ac:dyDescent="0.25">
      <c r="A29" s="80" t="s">
        <v>41</v>
      </c>
      <c r="B29" s="223" t="s">
        <v>101</v>
      </c>
      <c r="C29" s="118">
        <f>ROUND('1. Статистика'!N26,3)</f>
        <v>2.1880000000000002</v>
      </c>
      <c r="D29" s="119">
        <f>ROUND('1. Статистика'!O26,3)</f>
        <v>0.82099999999999995</v>
      </c>
      <c r="E29" s="119">
        <f>ROUND('1. Статистика'!P26,3)</f>
        <v>1.3680000000000001</v>
      </c>
      <c r="F29" s="120">
        <f>ROUND('1. Статистика'!Q26,3)</f>
        <v>1.0940000000000001</v>
      </c>
      <c r="G29" s="121">
        <f>ROUND(SUM(C29:F29),3)</f>
        <v>5.4710000000000001</v>
      </c>
      <c r="H29" s="118">
        <f>ROUND(C28,3)</f>
        <v>2.1880000000000002</v>
      </c>
      <c r="I29" s="119">
        <f>ROUND(D28,3)</f>
        <v>1.0509999999999999</v>
      </c>
      <c r="J29" s="119">
        <f>ROUND(E28,3)</f>
        <v>1.5680000000000001</v>
      </c>
      <c r="K29" s="120">
        <f>ROUND(F28,3)</f>
        <v>1.204</v>
      </c>
      <c r="L29" s="121">
        <f>ROUND(SUM(H29:K29),3)</f>
        <v>6.0110000000000001</v>
      </c>
      <c r="M29" s="118">
        <f>ROUND(H28,3)</f>
        <v>2.2679999999999998</v>
      </c>
      <c r="N29" s="119">
        <f>ROUND(I28,3)</f>
        <v>1.0509999999999999</v>
      </c>
      <c r="O29" s="119">
        <f>ROUND(J28,3)</f>
        <v>1.5680000000000001</v>
      </c>
      <c r="P29" s="120">
        <f>ROUND(K28,3)</f>
        <v>1.204</v>
      </c>
      <c r="Q29" s="121">
        <f>ROUND(SUM(M29:P29),3)</f>
        <v>6.0910000000000002</v>
      </c>
    </row>
    <row r="30" spans="1:17" s="2" customFormat="1" ht="28.5" customHeight="1" outlineLevel="1" x14ac:dyDescent="0.25">
      <c r="A30" s="80" t="s">
        <v>42</v>
      </c>
      <c r="B30" s="223" t="s">
        <v>101</v>
      </c>
      <c r="C30" s="118">
        <f>ROUND('1. Статистика'!D14,3)</f>
        <v>0</v>
      </c>
      <c r="D30" s="119">
        <f>ROUND('1. Статистика'!E14,3)</f>
        <v>0</v>
      </c>
      <c r="E30" s="119">
        <f>ROUND('1. Статистика'!F14,3)</f>
        <v>0</v>
      </c>
      <c r="F30" s="120">
        <f>ROUND('1. Статистика'!G14,3)</f>
        <v>0</v>
      </c>
      <c r="G30" s="121">
        <f>ROUND(SUM(C30:F30),3)</f>
        <v>0</v>
      </c>
      <c r="H30" s="118">
        <f>ROUND('1. Статистика'!I14,3)</f>
        <v>0</v>
      </c>
      <c r="I30" s="119">
        <f>ROUND('1. Статистика'!J14,3)</f>
        <v>0</v>
      </c>
      <c r="J30" s="119">
        <f>ROUND('1. Статистика'!K14,3)</f>
        <v>0</v>
      </c>
      <c r="K30" s="120">
        <f>ROUND('1. Статистика'!L14,3)</f>
        <v>0</v>
      </c>
      <c r="L30" s="121">
        <f>ROUND(SUM(H30:K30),3)</f>
        <v>0</v>
      </c>
      <c r="M30" s="118">
        <f>ROUND('1. Статистика'!N14,3)</f>
        <v>0</v>
      </c>
      <c r="N30" s="119">
        <f>ROUND('1. Статистика'!O14,3)</f>
        <v>0</v>
      </c>
      <c r="O30" s="119">
        <f>ROUND('1. Статистика'!P14,3)</f>
        <v>0</v>
      </c>
      <c r="P30" s="120">
        <f>ROUND('1. Статистика'!Q14,3)</f>
        <v>0</v>
      </c>
      <c r="Q30" s="121">
        <f>ROUND(SUM(M30:P30),3)</f>
        <v>0</v>
      </c>
    </row>
    <row r="31" spans="1:17" s="2" customFormat="1" ht="30" outlineLevel="1" x14ac:dyDescent="0.25">
      <c r="A31" s="80" t="s">
        <v>43</v>
      </c>
      <c r="B31" s="223" t="s">
        <v>101</v>
      </c>
      <c r="C31" s="118">
        <f>ROUND('2. Прогноз. Без корректировки'!C31,3)</f>
        <v>0</v>
      </c>
      <c r="D31" s="119">
        <f>ROUND('2. Прогноз. Без корректировки'!D31,3)</f>
        <v>0</v>
      </c>
      <c r="E31" s="119">
        <f>ROUND('2. Прогноз. Без корректировки'!E31,3)</f>
        <v>0</v>
      </c>
      <c r="F31" s="120">
        <f>ROUND('2. Прогноз. Без корректировки'!F31,3)</f>
        <v>0</v>
      </c>
      <c r="G31" s="121">
        <f>ROUND(SUM(C31:F31),3)</f>
        <v>0</v>
      </c>
      <c r="H31" s="118">
        <f>ROUND('2. Прогноз. Без корректировки'!H31,3)</f>
        <v>0</v>
      </c>
      <c r="I31" s="119">
        <f>ROUND('2. Прогноз. Без корректировки'!I31,3)</f>
        <v>0</v>
      </c>
      <c r="J31" s="119">
        <f>ROUND('2. Прогноз. Без корректировки'!J31,3)</f>
        <v>0</v>
      </c>
      <c r="K31" s="120">
        <f>ROUND('2. Прогноз. Без корректировки'!K31,3)</f>
        <v>0</v>
      </c>
      <c r="L31" s="121">
        <f>ROUND(SUM(H31:K31),3)</f>
        <v>0</v>
      </c>
      <c r="M31" s="118">
        <f>ROUND('2. Прогноз. Без корректировки'!M31,3)</f>
        <v>0</v>
      </c>
      <c r="N31" s="119">
        <f>ROUND('2. Прогноз. Без корректировки'!N31,3)</f>
        <v>0</v>
      </c>
      <c r="O31" s="119">
        <f>ROUND('2. Прогноз. Без корректировки'!O31,3)</f>
        <v>0</v>
      </c>
      <c r="P31" s="120">
        <f>ROUND('2. Прогноз. Без корректировки'!P31,3)</f>
        <v>0</v>
      </c>
      <c r="Q31" s="121">
        <f>ROUND(SUM(M31:P31),3)</f>
        <v>0</v>
      </c>
    </row>
    <row r="32" spans="1:17" s="2" customFormat="1" ht="30" outlineLevel="1" x14ac:dyDescent="0.25">
      <c r="A32" s="80" t="s">
        <v>44</v>
      </c>
      <c r="B32" s="223" t="s">
        <v>101</v>
      </c>
      <c r="C32" s="118">
        <f>ROUND('2. Прогноз. Без корректировки'!C32,3)</f>
        <v>0</v>
      </c>
      <c r="D32" s="119">
        <f>ROUND('2. Прогноз. Без корректировки'!D32,3)</f>
        <v>0.23</v>
      </c>
      <c r="E32" s="119">
        <f>ROUND('2. Прогноз. Без корректировки'!E32,3)</f>
        <v>0.2</v>
      </c>
      <c r="F32" s="120">
        <f>ROUND('2. Прогноз. Без корректировки'!F32,3)</f>
        <v>0.11</v>
      </c>
      <c r="G32" s="121">
        <f>ROUND(SUM(C32:F32),3)</f>
        <v>0.54</v>
      </c>
      <c r="H32" s="118">
        <f>ROUND('2. Прогноз. Без корректировки'!H32,3)</f>
        <v>0.08</v>
      </c>
      <c r="I32" s="119">
        <f>ROUND('2. Прогноз. Без корректировки'!I32,3)</f>
        <v>0</v>
      </c>
      <c r="J32" s="119">
        <f>ROUND('2. Прогноз. Без корректировки'!J32,3)</f>
        <v>0</v>
      </c>
      <c r="K32" s="120">
        <f>ROUND('2. Прогноз. Без корректировки'!K32,3)</f>
        <v>0</v>
      </c>
      <c r="L32" s="121">
        <f>ROUND(SUM(H32:K32),3)</f>
        <v>0.08</v>
      </c>
      <c r="M32" s="118">
        <f>ROUND('2. Прогноз. Без корректировки'!M32,3)</f>
        <v>0</v>
      </c>
      <c r="N32" s="119">
        <f>ROUND('2. Прогноз. Без корректировки'!N32,3)</f>
        <v>0</v>
      </c>
      <c r="O32" s="119">
        <f>ROUND('2. Прогноз. Без корректировки'!O32,3)</f>
        <v>0</v>
      </c>
      <c r="P32" s="120">
        <f>ROUND('2. Прогноз. Без корректировки'!P32,3)</f>
        <v>0</v>
      </c>
      <c r="Q32" s="121">
        <f>ROUND(SUM(M32:P32),3)</f>
        <v>0</v>
      </c>
    </row>
    <row r="33" spans="1:17" x14ac:dyDescent="0.25">
      <c r="A33" s="264" t="s">
        <v>74</v>
      </c>
      <c r="B33" s="262" t="s">
        <v>101</v>
      </c>
      <c r="C33" s="273">
        <f t="shared" ref="C33:Q33" si="4">ROUND(C34+C35-C36+C37,3)</f>
        <v>0</v>
      </c>
      <c r="D33" s="274">
        <f t="shared" si="4"/>
        <v>0</v>
      </c>
      <c r="E33" s="274">
        <f t="shared" si="4"/>
        <v>0</v>
      </c>
      <c r="F33" s="275">
        <f t="shared" si="4"/>
        <v>0</v>
      </c>
      <c r="G33" s="117">
        <f t="shared" si="4"/>
        <v>0</v>
      </c>
      <c r="H33" s="273">
        <f t="shared" si="4"/>
        <v>0</v>
      </c>
      <c r="I33" s="274">
        <f t="shared" si="4"/>
        <v>0</v>
      </c>
      <c r="J33" s="274">
        <f t="shared" si="4"/>
        <v>0</v>
      </c>
      <c r="K33" s="275">
        <f t="shared" si="4"/>
        <v>0</v>
      </c>
      <c r="L33" s="117">
        <f t="shared" si="4"/>
        <v>0</v>
      </c>
      <c r="M33" s="273">
        <f t="shared" si="4"/>
        <v>0</v>
      </c>
      <c r="N33" s="274">
        <f t="shared" si="4"/>
        <v>0</v>
      </c>
      <c r="O33" s="274">
        <f t="shared" si="4"/>
        <v>0</v>
      </c>
      <c r="P33" s="275">
        <f t="shared" si="4"/>
        <v>0</v>
      </c>
      <c r="Q33" s="117">
        <f t="shared" si="4"/>
        <v>0</v>
      </c>
    </row>
    <row r="34" spans="1:17" s="2" customFormat="1" ht="30" outlineLevel="1" x14ac:dyDescent="0.25">
      <c r="A34" s="80" t="s">
        <v>41</v>
      </c>
      <c r="B34" s="223" t="s">
        <v>101</v>
      </c>
      <c r="C34" s="118">
        <f>ROUND('1. Статистика'!N27,3)</f>
        <v>0</v>
      </c>
      <c r="D34" s="119">
        <f>ROUND('1. Статистика'!O27,3)</f>
        <v>0</v>
      </c>
      <c r="E34" s="119">
        <f>ROUND('1. Статистика'!P27,3)</f>
        <v>0</v>
      </c>
      <c r="F34" s="120">
        <f>ROUND('1. Статистика'!Q27,3)</f>
        <v>0</v>
      </c>
      <c r="G34" s="121">
        <f>ROUND(SUM(C34:F34),3)</f>
        <v>0</v>
      </c>
      <c r="H34" s="118">
        <f>ROUND(C33,3)</f>
        <v>0</v>
      </c>
      <c r="I34" s="119">
        <f>ROUND(D33,3)</f>
        <v>0</v>
      </c>
      <c r="J34" s="119">
        <f>ROUND(E33,3)</f>
        <v>0</v>
      </c>
      <c r="K34" s="120">
        <f>ROUND(F33,3)</f>
        <v>0</v>
      </c>
      <c r="L34" s="121">
        <f>ROUND(SUM(H34:K34),3)</f>
        <v>0</v>
      </c>
      <c r="M34" s="118">
        <f>ROUND(H33,3)</f>
        <v>0</v>
      </c>
      <c r="N34" s="119">
        <f>ROUND(I33,3)</f>
        <v>0</v>
      </c>
      <c r="O34" s="119">
        <f>ROUND(J33,3)</f>
        <v>0</v>
      </c>
      <c r="P34" s="120">
        <f>ROUND(K33,3)</f>
        <v>0</v>
      </c>
      <c r="Q34" s="121">
        <f>ROUND(SUM(M34:P34),3)</f>
        <v>0</v>
      </c>
    </row>
    <row r="35" spans="1:17" s="2" customFormat="1" ht="28.5" customHeight="1" outlineLevel="1" x14ac:dyDescent="0.25">
      <c r="A35" s="80" t="s">
        <v>42</v>
      </c>
      <c r="B35" s="223" t="s">
        <v>101</v>
      </c>
      <c r="C35" s="118">
        <f>ROUND('1. Статистика'!D15,3)</f>
        <v>0</v>
      </c>
      <c r="D35" s="119">
        <f>ROUND('1. Статистика'!E15,3)</f>
        <v>0</v>
      </c>
      <c r="E35" s="119">
        <f>ROUND('1. Статистика'!F15,3)</f>
        <v>0</v>
      </c>
      <c r="F35" s="120">
        <f>ROUND('1. Статистика'!G15,3)</f>
        <v>0</v>
      </c>
      <c r="G35" s="121">
        <f>ROUND(SUM(C35:F35),3)</f>
        <v>0</v>
      </c>
      <c r="H35" s="118">
        <f>ROUND('1. Статистика'!I15,3)</f>
        <v>0</v>
      </c>
      <c r="I35" s="119">
        <f>ROUND('1. Статистика'!J15,3)</f>
        <v>0</v>
      </c>
      <c r="J35" s="119">
        <f>ROUND('1. Статистика'!K15,3)</f>
        <v>0</v>
      </c>
      <c r="K35" s="120">
        <f>ROUND('1. Статистика'!L15,3)</f>
        <v>0</v>
      </c>
      <c r="L35" s="121">
        <f>ROUND(SUM(H35:K35),3)</f>
        <v>0</v>
      </c>
      <c r="M35" s="118">
        <f>ROUND('1. Статистика'!N15,3)</f>
        <v>0</v>
      </c>
      <c r="N35" s="119">
        <f>ROUND('1. Статистика'!O15,3)</f>
        <v>0</v>
      </c>
      <c r="O35" s="119">
        <f>ROUND('1. Статистика'!P15,3)</f>
        <v>0</v>
      </c>
      <c r="P35" s="120">
        <f>ROUND('1. Статистика'!Q15,3)</f>
        <v>0</v>
      </c>
      <c r="Q35" s="121">
        <f>ROUND(SUM(M35:P35),3)</f>
        <v>0</v>
      </c>
    </row>
    <row r="36" spans="1:17" s="2" customFormat="1" ht="30" outlineLevel="1" x14ac:dyDescent="0.25">
      <c r="A36" s="80" t="s">
        <v>43</v>
      </c>
      <c r="B36" s="223" t="s">
        <v>101</v>
      </c>
      <c r="C36" s="118">
        <f>ROUND('2. Прогноз. Без корректировки'!C36,3)</f>
        <v>0</v>
      </c>
      <c r="D36" s="119">
        <f>ROUND('2. Прогноз. Без корректировки'!D36,3)</f>
        <v>0</v>
      </c>
      <c r="E36" s="119">
        <f>ROUND('2. Прогноз. Без корректировки'!E36,3)</f>
        <v>0</v>
      </c>
      <c r="F36" s="120">
        <f>ROUND('2. Прогноз. Без корректировки'!F36,3)</f>
        <v>0</v>
      </c>
      <c r="G36" s="121">
        <f>ROUND(SUM(C36:F36),3)</f>
        <v>0</v>
      </c>
      <c r="H36" s="118">
        <f>ROUND('2. Прогноз. Без корректировки'!H36,3)</f>
        <v>0</v>
      </c>
      <c r="I36" s="119">
        <f>ROUND('2. Прогноз. Без корректировки'!I36,3)</f>
        <v>0</v>
      </c>
      <c r="J36" s="119">
        <f>ROUND('2. Прогноз. Без корректировки'!J36,3)</f>
        <v>0</v>
      </c>
      <c r="K36" s="120">
        <f>ROUND('2. Прогноз. Без корректировки'!K36,3)</f>
        <v>0</v>
      </c>
      <c r="L36" s="121">
        <f>ROUND(SUM(H36:K36),3)</f>
        <v>0</v>
      </c>
      <c r="M36" s="118">
        <f>ROUND('2. Прогноз. Без корректировки'!M36,3)</f>
        <v>0</v>
      </c>
      <c r="N36" s="119">
        <f>ROUND('2. Прогноз. Без корректировки'!N36,3)</f>
        <v>0</v>
      </c>
      <c r="O36" s="119">
        <f>ROUND('2. Прогноз. Без корректировки'!O36,3)</f>
        <v>0</v>
      </c>
      <c r="P36" s="120">
        <f>ROUND('2. Прогноз. Без корректировки'!P36,3)</f>
        <v>0</v>
      </c>
      <c r="Q36" s="121">
        <f>ROUND(SUM(M36:P36),3)</f>
        <v>0</v>
      </c>
    </row>
    <row r="37" spans="1:17" s="2" customFormat="1" ht="30" outlineLevel="1" x14ac:dyDescent="0.25">
      <c r="A37" s="80" t="s">
        <v>44</v>
      </c>
      <c r="B37" s="223" t="s">
        <v>101</v>
      </c>
      <c r="C37" s="118">
        <f>ROUND('2. Прогноз. Без корректировки'!C37,3)</f>
        <v>0</v>
      </c>
      <c r="D37" s="119">
        <f>ROUND('2. Прогноз. Без корректировки'!D37,3)</f>
        <v>0</v>
      </c>
      <c r="E37" s="119">
        <f>ROUND('2. Прогноз. Без корректировки'!E37,3)</f>
        <v>0</v>
      </c>
      <c r="F37" s="120">
        <f>ROUND('2. Прогноз. Без корректировки'!F37,3)</f>
        <v>0</v>
      </c>
      <c r="G37" s="121">
        <f>ROUND(SUM(C37:F37),3)</f>
        <v>0</v>
      </c>
      <c r="H37" s="118">
        <f>ROUND('2. Прогноз. Без корректировки'!H37,3)</f>
        <v>0</v>
      </c>
      <c r="I37" s="119">
        <f>ROUND('2. Прогноз. Без корректировки'!I37,3)</f>
        <v>0</v>
      </c>
      <c r="J37" s="119">
        <f>ROUND('2. Прогноз. Без корректировки'!J37,3)</f>
        <v>0</v>
      </c>
      <c r="K37" s="120">
        <f>ROUND('2. Прогноз. Без корректировки'!K37,3)</f>
        <v>0</v>
      </c>
      <c r="L37" s="121">
        <f>ROUND(SUM(H37:K37),3)</f>
        <v>0</v>
      </c>
      <c r="M37" s="118">
        <f>ROUND('2. Прогноз. Без корректировки'!M37,3)</f>
        <v>0</v>
      </c>
      <c r="N37" s="119">
        <f>ROUND('2. Прогноз. Без корректировки'!N37,3)</f>
        <v>0</v>
      </c>
      <c r="O37" s="119">
        <f>ROUND('2. Прогноз. Без корректировки'!O37,3)</f>
        <v>0</v>
      </c>
      <c r="P37" s="120">
        <f>ROUND('2. Прогноз. Без корректировки'!P37,3)</f>
        <v>0</v>
      </c>
      <c r="Q37" s="121">
        <f>ROUND(SUM(M37:P37),3)</f>
        <v>0</v>
      </c>
    </row>
    <row r="38" spans="1:17" x14ac:dyDescent="0.25">
      <c r="A38" s="257" t="s">
        <v>16</v>
      </c>
      <c r="B38" s="265" t="s">
        <v>101</v>
      </c>
      <c r="C38" s="282">
        <f>ROUND('2. Прогноз. Без корректировки'!C38,3)</f>
        <v>0</v>
      </c>
      <c r="D38" s="283">
        <f>ROUND('2. Прогноз. Без корректировки'!D38,3)</f>
        <v>0</v>
      </c>
      <c r="E38" s="283">
        <f>ROUND('2. Прогноз. Без корректировки'!E38,3)</f>
        <v>0</v>
      </c>
      <c r="F38" s="288">
        <f>ROUND('2. Прогноз. Без корректировки'!F38,3)</f>
        <v>0</v>
      </c>
      <c r="G38" s="124">
        <f>ROUND('2. Прогноз. Без корректировки'!G38,3)</f>
        <v>0</v>
      </c>
      <c r="H38" s="282">
        <f>ROUND('2. Прогноз. Без корректировки'!H38,3)</f>
        <v>0</v>
      </c>
      <c r="I38" s="283">
        <f>ROUND('2. Прогноз. Без корректировки'!I38,3)</f>
        <v>0</v>
      </c>
      <c r="J38" s="283">
        <f>ROUND('2. Прогноз. Без корректировки'!J38,3)</f>
        <v>0</v>
      </c>
      <c r="K38" s="288">
        <f>ROUND('2. Прогноз. Без корректировки'!K38,3)</f>
        <v>0</v>
      </c>
      <c r="L38" s="124">
        <f>ROUND('2. Прогноз. Без корректировки'!L38,3)</f>
        <v>0</v>
      </c>
      <c r="M38" s="282">
        <f>ROUND('2. Прогноз. Без корректировки'!M38,3)</f>
        <v>0</v>
      </c>
      <c r="N38" s="283">
        <f>ROUND('2. Прогноз. Без корректировки'!N38,3)</f>
        <v>0</v>
      </c>
      <c r="O38" s="283">
        <f>ROUND('2. Прогноз. Без корректировки'!O38,3)</f>
        <v>0</v>
      </c>
      <c r="P38" s="288">
        <f>ROUND('2. Прогноз. Без корректировки'!P38,3)</f>
        <v>0</v>
      </c>
      <c r="Q38" s="124">
        <f>ROUND('2. Прогноз. Без корректировки'!Q38,3)</f>
        <v>0</v>
      </c>
    </row>
    <row r="39" spans="1:17" outlineLevel="1" x14ac:dyDescent="0.25">
      <c r="A39" s="220" t="s">
        <v>45</v>
      </c>
      <c r="B39" s="307" t="s">
        <v>104</v>
      </c>
      <c r="C39" s="308"/>
      <c r="D39" s="309"/>
      <c r="E39" s="309"/>
      <c r="F39" s="310"/>
      <c r="G39" s="311">
        <f>ROUND('2. Прогноз. Без корректировки'!G39,3)</f>
        <v>0</v>
      </c>
      <c r="H39" s="308"/>
      <c r="I39" s="309"/>
      <c r="J39" s="309"/>
      <c r="K39" s="310"/>
      <c r="L39" s="311">
        <f>ROUND('2. Прогноз. Без корректировки'!L39,3)</f>
        <v>0</v>
      </c>
      <c r="M39" s="308"/>
      <c r="N39" s="309"/>
      <c r="O39" s="309"/>
      <c r="P39" s="310"/>
      <c r="Q39" s="311">
        <f>ROUND('2. Прогноз. Без корректировки'!Q39,3)</f>
        <v>0</v>
      </c>
    </row>
    <row r="40" spans="1:17" x14ac:dyDescent="0.25">
      <c r="A40" s="257" t="s">
        <v>46</v>
      </c>
      <c r="B40" s="266" t="s">
        <v>101</v>
      </c>
      <c r="C40" s="273">
        <f>ROUND(C41+C42,3)</f>
        <v>0</v>
      </c>
      <c r="D40" s="274">
        <f>ROUND(D41+D42,3)</f>
        <v>0</v>
      </c>
      <c r="E40" s="274">
        <f>ROUND(E41+E42,3)</f>
        <v>0</v>
      </c>
      <c r="F40" s="275">
        <f>ROUND(F41+F42,3)</f>
        <v>0</v>
      </c>
      <c r="G40" s="117">
        <f>ROUND(SUM(G41:G42),3)</f>
        <v>0</v>
      </c>
      <c r="H40" s="273">
        <f>ROUND(H41+H42,3)</f>
        <v>0</v>
      </c>
      <c r="I40" s="274">
        <f>ROUND(I41+I42,3)</f>
        <v>0</v>
      </c>
      <c r="J40" s="274">
        <f>ROUND(J41+J42,3)</f>
        <v>0</v>
      </c>
      <c r="K40" s="275">
        <f>ROUND(K41+K42,3)</f>
        <v>0</v>
      </c>
      <c r="L40" s="117">
        <f>ROUND(SUM(L41:L42),3)</f>
        <v>0</v>
      </c>
      <c r="M40" s="273">
        <f>ROUND(M41+M42,3)</f>
        <v>0</v>
      </c>
      <c r="N40" s="274">
        <f>ROUND(N41+N42,3)</f>
        <v>0</v>
      </c>
      <c r="O40" s="274">
        <f>ROUND(O41+O42,3)</f>
        <v>0</v>
      </c>
      <c r="P40" s="275">
        <f>ROUND(P41+P42,3)</f>
        <v>0</v>
      </c>
      <c r="Q40" s="117">
        <f>ROUND(SUM(Q41:Q42),3)</f>
        <v>0</v>
      </c>
    </row>
    <row r="41" spans="1:17" s="2" customFormat="1" outlineLevel="1" x14ac:dyDescent="0.25">
      <c r="A41" s="220" t="s">
        <v>47</v>
      </c>
      <c r="B41" s="223" t="s">
        <v>101</v>
      </c>
      <c r="C41" s="118">
        <f>ROUND('1. Статистика'!N29,3)</f>
        <v>0</v>
      </c>
      <c r="D41" s="119">
        <f>ROUND('1. Статистика'!O29,3)</f>
        <v>0</v>
      </c>
      <c r="E41" s="119">
        <f>ROUND('1. Статистика'!P29,3)</f>
        <v>0</v>
      </c>
      <c r="F41" s="120">
        <f>ROUND('1. Статистика'!Q29,3)</f>
        <v>0</v>
      </c>
      <c r="G41" s="121">
        <f>ROUND(SUM(C41:F41),3)</f>
        <v>0</v>
      </c>
      <c r="H41" s="118">
        <f>ROUND(C40,3)</f>
        <v>0</v>
      </c>
      <c r="I41" s="119">
        <f>ROUND(D40,3)</f>
        <v>0</v>
      </c>
      <c r="J41" s="119">
        <f>ROUND(E40,3)</f>
        <v>0</v>
      </c>
      <c r="K41" s="120">
        <f>ROUND(F40,3)</f>
        <v>0</v>
      </c>
      <c r="L41" s="121">
        <f>ROUND(SUM(H41:K41),3)</f>
        <v>0</v>
      </c>
      <c r="M41" s="118">
        <f>ROUND(H40,3)</f>
        <v>0</v>
      </c>
      <c r="N41" s="119">
        <f>ROUND(I40,3)</f>
        <v>0</v>
      </c>
      <c r="O41" s="119">
        <f>ROUND(J40,3)</f>
        <v>0</v>
      </c>
      <c r="P41" s="120">
        <f>ROUND(K40,3)</f>
        <v>0</v>
      </c>
      <c r="Q41" s="121">
        <f>ROUND(SUM(M41:P41),3)</f>
        <v>0</v>
      </c>
    </row>
    <row r="42" spans="1:17" s="2" customFormat="1" outlineLevel="1" x14ac:dyDescent="0.25">
      <c r="A42" s="220" t="s">
        <v>48</v>
      </c>
      <c r="B42" s="223" t="s">
        <v>101</v>
      </c>
      <c r="C42" s="118">
        <f>ROUND('1. Статистика'!C69-C41,3)</f>
        <v>0</v>
      </c>
      <c r="D42" s="119">
        <f>ROUND('1. Статистика'!D69-D41,3)</f>
        <v>0</v>
      </c>
      <c r="E42" s="119">
        <f>ROUND('1. Статистика'!E69-E41,3)</f>
        <v>0</v>
      </c>
      <c r="F42" s="120">
        <f>ROUND('1. Статистика'!F69-F41,3)</f>
        <v>0</v>
      </c>
      <c r="G42" s="121">
        <f>ROUND(SUM(C42:F42),3)</f>
        <v>0</v>
      </c>
      <c r="H42" s="118">
        <f>ROUND('1. Статистика'!G69-H41,3)</f>
        <v>0</v>
      </c>
      <c r="I42" s="119">
        <f>ROUND('1. Статистика'!H69-I41,3)</f>
        <v>0</v>
      </c>
      <c r="J42" s="119">
        <f>ROUND('1. Статистика'!I69-J41,3)</f>
        <v>0</v>
      </c>
      <c r="K42" s="120">
        <f>ROUND('1. Статистика'!J69-K41,3)</f>
        <v>0</v>
      </c>
      <c r="L42" s="121">
        <f>ROUND(SUM(H42:K42),3)</f>
        <v>0</v>
      </c>
      <c r="M42" s="118">
        <f>ROUND('1. Статистика'!K69-M41,3)</f>
        <v>0</v>
      </c>
      <c r="N42" s="119">
        <f>ROUND('1. Статистика'!L69-N41,3)</f>
        <v>0</v>
      </c>
      <c r="O42" s="119">
        <f>ROUND('1. Статистика'!M69-O41,3)</f>
        <v>0</v>
      </c>
      <c r="P42" s="120">
        <f>ROUND('1. Статистика'!N69-P41,3)</f>
        <v>0</v>
      </c>
      <c r="Q42" s="121">
        <f>ROUND(SUM(M42:P42),3)</f>
        <v>0</v>
      </c>
    </row>
    <row r="43" spans="1:17" x14ac:dyDescent="0.25">
      <c r="A43" s="257" t="s">
        <v>49</v>
      </c>
      <c r="B43" s="267" t="s">
        <v>101</v>
      </c>
      <c r="C43" s="273">
        <f>ROUND(C44+C45,3)</f>
        <v>10.18</v>
      </c>
      <c r="D43" s="274">
        <f>ROUND(D44+D45,3)</f>
        <v>10.182</v>
      </c>
      <c r="E43" s="274">
        <f>ROUND(E44+E45,3)</f>
        <v>10.182</v>
      </c>
      <c r="F43" s="275">
        <f>ROUND(F44+F45,3)</f>
        <v>10.183999999999999</v>
      </c>
      <c r="G43" s="117">
        <f>ROUND(SUM(G44:G45),3)</f>
        <v>40.728000000000002</v>
      </c>
      <c r="H43" s="273">
        <f>ROUND(H44+H45,3)</f>
        <v>10.18</v>
      </c>
      <c r="I43" s="274">
        <f>ROUND(I44+I45,3)</f>
        <v>10.182</v>
      </c>
      <c r="J43" s="274">
        <f>ROUND(J44+J45,3)</f>
        <v>10.182</v>
      </c>
      <c r="K43" s="275">
        <f>ROUND(K44+K45,3)</f>
        <v>10.183999999999999</v>
      </c>
      <c r="L43" s="117">
        <f>ROUND(SUM(L44:L45),3)</f>
        <v>40.728000000000002</v>
      </c>
      <c r="M43" s="273">
        <f>ROUND(M44+M45,3)</f>
        <v>10.18</v>
      </c>
      <c r="N43" s="274">
        <f>ROUND(N44+N45,3)</f>
        <v>10.182</v>
      </c>
      <c r="O43" s="274">
        <f>ROUND(O44+O45,3)</f>
        <v>10.182</v>
      </c>
      <c r="P43" s="275">
        <f>ROUND(P44+P45,3)</f>
        <v>10.183999999999999</v>
      </c>
      <c r="Q43" s="117">
        <f>ROUND(SUM(Q44:Q45),3)</f>
        <v>40.728000000000002</v>
      </c>
    </row>
    <row r="44" spans="1:17" s="2" customFormat="1" outlineLevel="1" x14ac:dyDescent="0.25">
      <c r="A44" s="220" t="s">
        <v>50</v>
      </c>
      <c r="B44" s="223" t="s">
        <v>101</v>
      </c>
      <c r="C44" s="118">
        <f>ROUND('1. Статистика'!N30,3)</f>
        <v>10.18</v>
      </c>
      <c r="D44" s="119">
        <f>ROUND('1. Статистика'!O30,3)</f>
        <v>10.182</v>
      </c>
      <c r="E44" s="119">
        <f>ROUND('1. Статистика'!P30,3)</f>
        <v>10.182</v>
      </c>
      <c r="F44" s="120">
        <f>ROUND('1. Статистика'!Q30,3)</f>
        <v>10.183999999999999</v>
      </c>
      <c r="G44" s="121">
        <f>ROUND(SUM(C44:F44),3)</f>
        <v>40.728000000000002</v>
      </c>
      <c r="H44" s="118">
        <f>ROUND(C43,3)</f>
        <v>10.18</v>
      </c>
      <c r="I44" s="119">
        <f>ROUND(D43,3)</f>
        <v>10.182</v>
      </c>
      <c r="J44" s="119">
        <f>ROUND(E43,3)</f>
        <v>10.182</v>
      </c>
      <c r="K44" s="120">
        <f>ROUND(F43,3)</f>
        <v>10.183999999999999</v>
      </c>
      <c r="L44" s="121">
        <f>ROUND(SUM(H44:K44),3)</f>
        <v>40.728000000000002</v>
      </c>
      <c r="M44" s="118">
        <f>ROUND(H43,3)</f>
        <v>10.18</v>
      </c>
      <c r="N44" s="119">
        <f>ROUND(I43,3)</f>
        <v>10.182</v>
      </c>
      <c r="O44" s="119">
        <f>ROUND(J43,3)</f>
        <v>10.182</v>
      </c>
      <c r="P44" s="120">
        <f>ROUND(K43,3)</f>
        <v>10.183999999999999</v>
      </c>
      <c r="Q44" s="126">
        <f>ROUND(SUM(M44:P44),3)</f>
        <v>40.728000000000002</v>
      </c>
    </row>
    <row r="45" spans="1:17" s="2" customFormat="1" ht="30" outlineLevel="1" x14ac:dyDescent="0.25">
      <c r="A45" s="313" t="s">
        <v>51</v>
      </c>
      <c r="B45" s="223" t="s">
        <v>101</v>
      </c>
      <c r="C45" s="118">
        <f>ROUND('2. Прогноз. Без корректировки'!C45,3)</f>
        <v>0</v>
      </c>
      <c r="D45" s="119">
        <f>ROUND('2. Прогноз. Без корректировки'!D45,3)</f>
        <v>0</v>
      </c>
      <c r="E45" s="119">
        <f>ROUND('2. Прогноз. Без корректировки'!E45,3)</f>
        <v>0</v>
      </c>
      <c r="F45" s="120">
        <f>ROUND('2. Прогноз. Без корректировки'!F45,3)</f>
        <v>0</v>
      </c>
      <c r="G45" s="121">
        <f>ROUND(SUM(C45:F45),3)</f>
        <v>0</v>
      </c>
      <c r="H45" s="118">
        <f>ROUND('2. Прогноз. Без корректировки'!H45,3)</f>
        <v>0</v>
      </c>
      <c r="I45" s="119">
        <f>ROUND('2. Прогноз. Без корректировки'!I45,3)</f>
        <v>0</v>
      </c>
      <c r="J45" s="119">
        <f>ROUND('2. Прогноз. Без корректировки'!J45,3)</f>
        <v>0</v>
      </c>
      <c r="K45" s="120">
        <f>ROUND('2. Прогноз. Без корректировки'!K45,3)</f>
        <v>0</v>
      </c>
      <c r="L45" s="121">
        <f>ROUND(SUM(H45:K45),3)</f>
        <v>0</v>
      </c>
      <c r="M45" s="118">
        <f>ROUND('2. Прогноз. Без корректировки'!M45,3)</f>
        <v>0</v>
      </c>
      <c r="N45" s="119">
        <f>ROUND('2. Прогноз. Без корректировки'!N45,3)</f>
        <v>0</v>
      </c>
      <c r="O45" s="119">
        <f>ROUND('2. Прогноз. Без корректировки'!O45,3)</f>
        <v>0</v>
      </c>
      <c r="P45" s="120">
        <f>ROUND('2. Прогноз. Без корректировки'!P45,3)</f>
        <v>0</v>
      </c>
      <c r="Q45" s="126">
        <f>ROUND(SUM(M45:P45),3)</f>
        <v>0</v>
      </c>
    </row>
    <row r="46" spans="1:17" x14ac:dyDescent="0.25">
      <c r="A46" s="260" t="s">
        <v>40</v>
      </c>
      <c r="B46" s="261" t="s">
        <v>101</v>
      </c>
      <c r="C46" s="279">
        <f t="shared" ref="C46:Q46" si="5">ROUND(C27+C40+C43+C38,3)</f>
        <v>12.368</v>
      </c>
      <c r="D46" s="280">
        <f t="shared" si="5"/>
        <v>11.233000000000001</v>
      </c>
      <c r="E46" s="280">
        <f t="shared" si="5"/>
        <v>11.75</v>
      </c>
      <c r="F46" s="281">
        <f t="shared" si="5"/>
        <v>11.388</v>
      </c>
      <c r="G46" s="129">
        <f t="shared" si="5"/>
        <v>46.738999999999997</v>
      </c>
      <c r="H46" s="279">
        <f t="shared" si="5"/>
        <v>12.448</v>
      </c>
      <c r="I46" s="280">
        <f t="shared" si="5"/>
        <v>11.233000000000001</v>
      </c>
      <c r="J46" s="280">
        <f t="shared" si="5"/>
        <v>11.75</v>
      </c>
      <c r="K46" s="281">
        <f t="shared" si="5"/>
        <v>11.388</v>
      </c>
      <c r="L46" s="129">
        <f t="shared" si="5"/>
        <v>46.819000000000003</v>
      </c>
      <c r="M46" s="279">
        <f t="shared" si="5"/>
        <v>12.448</v>
      </c>
      <c r="N46" s="280">
        <f t="shared" si="5"/>
        <v>11.233000000000001</v>
      </c>
      <c r="O46" s="280">
        <f t="shared" si="5"/>
        <v>11.75</v>
      </c>
      <c r="P46" s="281">
        <f t="shared" si="5"/>
        <v>11.388</v>
      </c>
      <c r="Q46" s="129">
        <f t="shared" si="5"/>
        <v>46.819000000000003</v>
      </c>
    </row>
    <row r="47" spans="1:17" ht="15.75" thickBot="1" x14ac:dyDescent="0.3">
      <c r="A47" s="268" t="s">
        <v>52</v>
      </c>
      <c r="B47" s="269" t="s">
        <v>101</v>
      </c>
      <c r="C47" s="284">
        <f t="shared" ref="C47:Q47" si="6">ROUND(C26-C46,3)</f>
        <v>3.6</v>
      </c>
      <c r="D47" s="285">
        <f t="shared" si="6"/>
        <v>3.6</v>
      </c>
      <c r="E47" s="285">
        <f t="shared" si="6"/>
        <v>3.6</v>
      </c>
      <c r="F47" s="286">
        <f t="shared" si="6"/>
        <v>3.6</v>
      </c>
      <c r="G47" s="130">
        <f t="shared" si="6"/>
        <v>3.6</v>
      </c>
      <c r="H47" s="284">
        <f t="shared" si="6"/>
        <v>3.6</v>
      </c>
      <c r="I47" s="285">
        <f t="shared" si="6"/>
        <v>3.6</v>
      </c>
      <c r="J47" s="285">
        <f t="shared" si="6"/>
        <v>3.6</v>
      </c>
      <c r="K47" s="286">
        <f t="shared" si="6"/>
        <v>3.6</v>
      </c>
      <c r="L47" s="130">
        <f t="shared" si="6"/>
        <v>3.6</v>
      </c>
      <c r="M47" s="284">
        <f t="shared" si="6"/>
        <v>3.6</v>
      </c>
      <c r="N47" s="285">
        <f t="shared" si="6"/>
        <v>3.6</v>
      </c>
      <c r="O47" s="285">
        <f t="shared" si="6"/>
        <v>3.6</v>
      </c>
      <c r="P47" s="286">
        <f t="shared" si="6"/>
        <v>3.6</v>
      </c>
      <c r="Q47" s="130">
        <f t="shared" si="6"/>
        <v>3.6</v>
      </c>
    </row>
    <row r="48" spans="1:17" x14ac:dyDescent="0.25">
      <c r="A48" s="8"/>
      <c r="B48" s="17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</row>
    <row r="49" spans="1:17" x14ac:dyDescent="0.25">
      <c r="A49" s="8"/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</row>
    <row r="50" spans="1:17" x14ac:dyDescent="0.25">
      <c r="A50" s="225" t="s">
        <v>67</v>
      </c>
      <c r="B50" s="230"/>
      <c r="C50" s="228">
        <f t="shared" ref="C50:Q50" si="7">ROUND(C26-C46-C47,3)</f>
        <v>0</v>
      </c>
      <c r="D50" s="228">
        <f t="shared" si="7"/>
        <v>0</v>
      </c>
      <c r="E50" s="228">
        <f t="shared" si="7"/>
        <v>0</v>
      </c>
      <c r="F50" s="228">
        <f t="shared" si="7"/>
        <v>0</v>
      </c>
      <c r="G50" s="248">
        <f t="shared" si="7"/>
        <v>0</v>
      </c>
      <c r="H50" s="228">
        <f t="shared" si="7"/>
        <v>0</v>
      </c>
      <c r="I50" s="228">
        <f t="shared" si="7"/>
        <v>0</v>
      </c>
      <c r="J50" s="228">
        <f t="shared" si="7"/>
        <v>0</v>
      </c>
      <c r="K50" s="228">
        <f t="shared" si="7"/>
        <v>0</v>
      </c>
      <c r="L50" s="248">
        <f t="shared" si="7"/>
        <v>0</v>
      </c>
      <c r="M50" s="228">
        <f t="shared" si="7"/>
        <v>0</v>
      </c>
      <c r="N50" s="228">
        <f t="shared" si="7"/>
        <v>0</v>
      </c>
      <c r="O50" s="228">
        <f t="shared" si="7"/>
        <v>0</v>
      </c>
      <c r="P50" s="228">
        <f t="shared" si="7"/>
        <v>0</v>
      </c>
      <c r="Q50" s="248">
        <f t="shared" si="7"/>
        <v>0</v>
      </c>
    </row>
    <row r="51" spans="1:17" x14ac:dyDescent="0.25">
      <c r="A51" s="231"/>
      <c r="B51" s="230"/>
      <c r="C51" s="228"/>
      <c r="D51" s="228"/>
      <c r="E51" s="228"/>
      <c r="F51" s="228"/>
      <c r="G51" s="248"/>
      <c r="H51" s="228"/>
      <c r="I51" s="228"/>
      <c r="J51" s="228"/>
      <c r="K51" s="228"/>
      <c r="L51" s="248"/>
      <c r="M51" s="228"/>
      <c r="N51" s="228"/>
      <c r="O51" s="228"/>
      <c r="P51" s="228"/>
      <c r="Q51" s="248"/>
    </row>
    <row r="52" spans="1:17" x14ac:dyDescent="0.25">
      <c r="A52" s="232"/>
      <c r="B52" s="230"/>
      <c r="C52" s="228"/>
      <c r="D52" s="228"/>
      <c r="E52" s="228"/>
      <c r="F52" s="228"/>
      <c r="G52" s="248"/>
      <c r="H52" s="228"/>
      <c r="I52" s="228"/>
      <c r="J52" s="228"/>
      <c r="K52" s="228"/>
      <c r="L52" s="248"/>
      <c r="M52" s="228"/>
      <c r="N52" s="228"/>
      <c r="O52" s="228"/>
      <c r="P52" s="228"/>
      <c r="Q52" s="248"/>
    </row>
    <row r="53" spans="1:17" x14ac:dyDescent="0.25">
      <c r="A53" s="225" t="s">
        <v>53</v>
      </c>
      <c r="B53" s="230"/>
      <c r="C53" s="228">
        <f t="shared" ref="C53:Q53" si="8">ROUND(C9+C10+C23-C27-C38-C40-C43-C47,3)</f>
        <v>0</v>
      </c>
      <c r="D53" s="228">
        <f t="shared" si="8"/>
        <v>0</v>
      </c>
      <c r="E53" s="228">
        <f t="shared" si="8"/>
        <v>0</v>
      </c>
      <c r="F53" s="228">
        <f t="shared" si="8"/>
        <v>0</v>
      </c>
      <c r="G53" s="248">
        <f t="shared" si="8"/>
        <v>0</v>
      </c>
      <c r="H53" s="228">
        <f t="shared" si="8"/>
        <v>0</v>
      </c>
      <c r="I53" s="228">
        <f t="shared" si="8"/>
        <v>0</v>
      </c>
      <c r="J53" s="228">
        <f t="shared" si="8"/>
        <v>0</v>
      </c>
      <c r="K53" s="228">
        <f t="shared" si="8"/>
        <v>0</v>
      </c>
      <c r="L53" s="248">
        <f t="shared" si="8"/>
        <v>0</v>
      </c>
      <c r="M53" s="228">
        <f t="shared" si="8"/>
        <v>0</v>
      </c>
      <c r="N53" s="228">
        <f t="shared" si="8"/>
        <v>0</v>
      </c>
      <c r="O53" s="228">
        <f t="shared" si="8"/>
        <v>0</v>
      </c>
      <c r="P53" s="228">
        <f t="shared" si="8"/>
        <v>0</v>
      </c>
      <c r="Q53" s="248">
        <f t="shared" si="8"/>
        <v>0</v>
      </c>
    </row>
    <row r="54" spans="1:17" x14ac:dyDescent="0.25"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</row>
  </sheetData>
  <sheetProtection algorithmName="SHA-512" hashValue="qeWc91gHFrVHGe6bmIC3lk4+U9mE+SjFp1kwkb2t8ZRtn4sG2lp9N2ZJMPcaB3yeaFAscZdcML2VDmSWT+eFVg==" saltValue="YXYn+baIFFWRw7Z6Q9Dnew==" spinCount="100000" sheet="1" objects="1" scenarios="1"/>
  <mergeCells count="8">
    <mergeCell ref="M7:P7"/>
    <mergeCell ref="Q7:Q8"/>
    <mergeCell ref="A7:A8"/>
    <mergeCell ref="B7:B8"/>
    <mergeCell ref="C7:F7"/>
    <mergeCell ref="G7:G8"/>
    <mergeCell ref="H7:K7"/>
    <mergeCell ref="L7:L8"/>
  </mergeCells>
  <phoneticPr fontId="17" type="noConversion"/>
  <dataValidations count="2">
    <dataValidation type="decimal" operator="greaterThan" allowBlank="1" showInputMessage="1" showErrorMessage="1" sqref="H12:K15 C12:F15 M34:P45 C17:F22 D34:F45 M17:P22 Q38 H17:K22 M12:P15 G38 L38 M25:P27 H25:K27 C25:C45 D25:F27 D28:Q28 D29:F32 M29:P32 H29:K32 H34:K45 D33:Q33 B3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G24:G26 L24:L26 Q24:Q26">
      <formula1>-1000000000</formula1>
    </dataValidation>
  </dataValidations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R22"/>
  <sheetViews>
    <sheetView zoomScaleNormal="100" workbookViewId="0">
      <selection activeCell="R1" sqref="R1"/>
    </sheetView>
  </sheetViews>
  <sheetFormatPr defaultRowHeight="15" x14ac:dyDescent="0.25"/>
  <cols>
    <col min="1" max="1" width="40" customWidth="1"/>
    <col min="2" max="5" width="13" customWidth="1"/>
    <col min="6" max="6" width="10" customWidth="1"/>
    <col min="7" max="10" width="13" customWidth="1"/>
    <col min="11" max="11" width="10" customWidth="1"/>
    <col min="12" max="15" width="13" customWidth="1"/>
    <col min="16" max="16" width="10" customWidth="1"/>
    <col min="18" max="18" width="10.140625" bestFit="1" customWidth="1"/>
  </cols>
  <sheetData>
    <row r="1" spans="1:18" x14ac:dyDescent="0.25">
      <c r="B1" s="245" t="s">
        <v>100</v>
      </c>
      <c r="C1" s="245" t="s">
        <v>99</v>
      </c>
      <c r="D1" s="245" t="s">
        <v>98</v>
      </c>
      <c r="E1" s="245" t="s">
        <v>97</v>
      </c>
      <c r="F1" s="245" t="s">
        <v>96</v>
      </c>
      <c r="G1" s="245" t="s">
        <v>95</v>
      </c>
      <c r="H1" s="245" t="s">
        <v>94</v>
      </c>
      <c r="I1" s="245" t="s">
        <v>93</v>
      </c>
      <c r="J1" s="245" t="s">
        <v>92</v>
      </c>
      <c r="K1" s="245" t="s">
        <v>91</v>
      </c>
      <c r="L1" s="245" t="s">
        <v>90</v>
      </c>
      <c r="M1" s="245" t="s">
        <v>89</v>
      </c>
      <c r="N1" s="245" t="s">
        <v>88</v>
      </c>
      <c r="O1" s="245" t="s">
        <v>87</v>
      </c>
      <c r="P1" s="245" t="s">
        <v>86</v>
      </c>
      <c r="Q1" s="31" t="s">
        <v>142</v>
      </c>
      <c r="R1" s="324">
        <v>43739</v>
      </c>
    </row>
    <row r="2" spans="1:18" ht="16.5" thickBot="1" x14ac:dyDescent="0.3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R2">
        <f>IF(Date="","XXX",Date)</f>
        <v>43739</v>
      </c>
    </row>
    <row r="3" spans="1:18" x14ac:dyDescent="0.25">
      <c r="A3" s="392" t="s">
        <v>15</v>
      </c>
      <c r="B3" s="394" t="str">
        <f>YEAR(Test_date)&amp;" год"</f>
        <v>2019 год</v>
      </c>
      <c r="C3" s="395"/>
      <c r="D3" s="395"/>
      <c r="E3" s="396"/>
      <c r="F3" s="390" t="str">
        <f>B3</f>
        <v>2019 год</v>
      </c>
      <c r="G3" s="394" t="str">
        <f>(LEFT(B3,4)+1)&amp;" год"</f>
        <v>2020 год</v>
      </c>
      <c r="H3" s="395"/>
      <c r="I3" s="395"/>
      <c r="J3" s="396"/>
      <c r="K3" s="390" t="str">
        <f>G3</f>
        <v>2020 год</v>
      </c>
      <c r="L3" s="394" t="str">
        <f>(LEFT(G3,4)+1)&amp;" год"</f>
        <v>2021 год</v>
      </c>
      <c r="M3" s="395"/>
      <c r="N3" s="395"/>
      <c r="O3" s="396"/>
      <c r="P3" s="390" t="str">
        <f>L3</f>
        <v>2021 год</v>
      </c>
    </row>
    <row r="4" spans="1:18" ht="15.75" thickBot="1" x14ac:dyDescent="0.3">
      <c r="A4" s="393"/>
      <c r="B4" s="325">
        <v>1</v>
      </c>
      <c r="C4" s="326">
        <v>2</v>
      </c>
      <c r="D4" s="326">
        <v>3</v>
      </c>
      <c r="E4" s="327">
        <v>4</v>
      </c>
      <c r="F4" s="391"/>
      <c r="G4" s="325">
        <v>1</v>
      </c>
      <c r="H4" s="326">
        <v>2</v>
      </c>
      <c r="I4" s="326">
        <v>3</v>
      </c>
      <c r="J4" s="327">
        <v>4</v>
      </c>
      <c r="K4" s="391"/>
      <c r="L4" s="325">
        <v>1</v>
      </c>
      <c r="M4" s="326">
        <v>2</v>
      </c>
      <c r="N4" s="326">
        <v>3</v>
      </c>
      <c r="O4" s="327">
        <v>4</v>
      </c>
      <c r="P4" s="391"/>
    </row>
    <row r="5" spans="1:18" x14ac:dyDescent="0.25">
      <c r="A5" s="234" t="s">
        <v>4</v>
      </c>
      <c r="B5" s="233">
        <f ca="1">ROUND(INDIRECT("'3.Прогноз.С корректировкой таб5'!"&amp;B$1&amp;$Q5),3)</f>
        <v>3.6</v>
      </c>
      <c r="C5" s="91"/>
      <c r="D5" s="91"/>
      <c r="E5" s="92"/>
      <c r="F5" s="93"/>
      <c r="G5" s="94"/>
      <c r="H5" s="91"/>
      <c r="I5" s="91"/>
      <c r="J5" s="92"/>
      <c r="K5" s="93"/>
      <c r="L5" s="94"/>
      <c r="M5" s="91"/>
      <c r="N5" s="91"/>
      <c r="O5" s="92"/>
      <c r="P5" s="93"/>
      <c r="Q5" s="66">
        <v>9</v>
      </c>
      <c r="R5" s="247"/>
    </row>
    <row r="6" spans="1:18" x14ac:dyDescent="0.25">
      <c r="A6" s="235" t="s">
        <v>85</v>
      </c>
      <c r="B6" s="69"/>
      <c r="C6" s="29"/>
      <c r="D6" s="29"/>
      <c r="E6" s="68"/>
      <c r="F6" s="70"/>
      <c r="G6" s="69"/>
      <c r="H6" s="29"/>
      <c r="I6" s="29"/>
      <c r="J6" s="68"/>
      <c r="K6" s="70"/>
      <c r="L6" s="69"/>
      <c r="M6" s="29"/>
      <c r="N6" s="29"/>
      <c r="O6" s="68"/>
      <c r="P6" s="70"/>
      <c r="Q6" s="66">
        <v>10</v>
      </c>
      <c r="R6" s="247"/>
    </row>
    <row r="7" spans="1:18" ht="16.5" customHeight="1" x14ac:dyDescent="0.25">
      <c r="A7" s="235" t="s">
        <v>84</v>
      </c>
      <c r="B7" s="233">
        <f ca="1">ROUND(INDIRECT("'3.Прогноз.С корректировкой таб5'!"&amp;B$1&amp;$Q7),3)</f>
        <v>0</v>
      </c>
      <c r="C7" s="90">
        <f t="shared" ref="C7:E9" ca="1" si="0">ROUND(INDIRECT("'3.Прогноз.С корректировкой таб5'!"&amp;C$1&amp;$Q7),3)</f>
        <v>0</v>
      </c>
      <c r="D7" s="90">
        <f t="shared" ca="1" si="0"/>
        <v>0</v>
      </c>
      <c r="E7" s="90">
        <f t="shared" ca="1" si="0"/>
        <v>0</v>
      </c>
      <c r="F7" s="70"/>
      <c r="G7" s="90">
        <f ca="1">ROUND(INDIRECT("'3.Прогноз.С корректировкой таб5'!"&amp;G$1&amp;$Q7),3)</f>
        <v>0</v>
      </c>
      <c r="H7" s="90">
        <f t="shared" ref="H7:J9" ca="1" si="1">ROUND(INDIRECT("'3.Прогноз.С корректировкой таб5'!"&amp;H$1&amp;$Q7),3)</f>
        <v>0</v>
      </c>
      <c r="I7" s="90">
        <f t="shared" ca="1" si="1"/>
        <v>0</v>
      </c>
      <c r="J7" s="90">
        <f t="shared" ca="1" si="1"/>
        <v>0</v>
      </c>
      <c r="K7" s="70"/>
      <c r="L7" s="90">
        <f ca="1">ROUND(INDIRECT("'3.Прогноз.С корректировкой таб5'!"&amp;L$1&amp;$Q7),3)</f>
        <v>0</v>
      </c>
      <c r="M7" s="90">
        <f t="shared" ref="M7:O9" ca="1" si="2">ROUND(INDIRECT("'3.Прогноз.С корректировкой таб5'!"&amp;M$1&amp;$Q7),3)</f>
        <v>0</v>
      </c>
      <c r="N7" s="90">
        <f t="shared" ca="1" si="2"/>
        <v>0</v>
      </c>
      <c r="O7" s="90">
        <f t="shared" ca="1" si="2"/>
        <v>0</v>
      </c>
      <c r="P7" s="70"/>
      <c r="Q7" s="65">
        <v>11</v>
      </c>
      <c r="R7" s="247"/>
    </row>
    <row r="8" spans="1:18" x14ac:dyDescent="0.25">
      <c r="A8" s="235" t="s">
        <v>83</v>
      </c>
      <c r="B8" s="233">
        <f t="shared" ref="B8:B9" ca="1" si="3">ROUND(INDIRECT("'3.Прогноз.С корректировкой таб5'!"&amp;B$1&amp;$Q8),3)</f>
        <v>0</v>
      </c>
      <c r="C8" s="90">
        <f t="shared" ca="1" si="0"/>
        <v>0</v>
      </c>
      <c r="D8" s="90">
        <f t="shared" ca="1" si="0"/>
        <v>0</v>
      </c>
      <c r="E8" s="90">
        <f t="shared" ca="1" si="0"/>
        <v>0</v>
      </c>
      <c r="F8" s="71"/>
      <c r="G8" s="90">
        <f t="shared" ref="G8:G9" ca="1" si="4">ROUND(INDIRECT("'3.Прогноз.С корректировкой таб5'!"&amp;G$1&amp;$Q8),3)</f>
        <v>0</v>
      </c>
      <c r="H8" s="90">
        <f t="shared" ca="1" si="1"/>
        <v>0</v>
      </c>
      <c r="I8" s="90">
        <f t="shared" ca="1" si="1"/>
        <v>0</v>
      </c>
      <c r="J8" s="90">
        <f t="shared" ca="1" si="1"/>
        <v>0</v>
      </c>
      <c r="K8" s="71"/>
      <c r="L8" s="90">
        <f t="shared" ref="L8:L9" ca="1" si="5">ROUND(INDIRECT("'3.Прогноз.С корректировкой таб5'!"&amp;L$1&amp;$Q8),3)</f>
        <v>0</v>
      </c>
      <c r="M8" s="90">
        <f t="shared" ca="1" si="2"/>
        <v>0</v>
      </c>
      <c r="N8" s="90">
        <f t="shared" ca="1" si="2"/>
        <v>0</v>
      </c>
      <c r="O8" s="90">
        <f t="shared" ca="1" si="2"/>
        <v>0</v>
      </c>
      <c r="P8" s="71"/>
      <c r="Q8" s="65">
        <v>16</v>
      </c>
      <c r="R8" s="247"/>
    </row>
    <row r="9" spans="1:18" x14ac:dyDescent="0.25">
      <c r="A9" s="235" t="s">
        <v>66</v>
      </c>
      <c r="B9" s="233">
        <f t="shared" ca="1" si="3"/>
        <v>12.368</v>
      </c>
      <c r="C9" s="90">
        <f t="shared" ca="1" si="0"/>
        <v>11.233000000000001</v>
      </c>
      <c r="D9" s="90">
        <f t="shared" ca="1" si="0"/>
        <v>11.75</v>
      </c>
      <c r="E9" s="90">
        <f t="shared" ca="1" si="0"/>
        <v>11.388</v>
      </c>
      <c r="F9" s="72"/>
      <c r="G9" s="90">
        <f t="shared" ca="1" si="4"/>
        <v>12.448</v>
      </c>
      <c r="H9" s="90">
        <f t="shared" ca="1" si="1"/>
        <v>11.233000000000001</v>
      </c>
      <c r="I9" s="90">
        <f t="shared" ca="1" si="1"/>
        <v>11.75</v>
      </c>
      <c r="J9" s="90">
        <f t="shared" ca="1" si="1"/>
        <v>11.388</v>
      </c>
      <c r="K9" s="72"/>
      <c r="L9" s="90">
        <f t="shared" ca="1" si="5"/>
        <v>12.448</v>
      </c>
      <c r="M9" s="90">
        <f t="shared" ca="1" si="2"/>
        <v>11.233000000000001</v>
      </c>
      <c r="N9" s="90">
        <f t="shared" ca="1" si="2"/>
        <v>11.75</v>
      </c>
      <c r="O9" s="90">
        <f t="shared" ca="1" si="2"/>
        <v>11.388</v>
      </c>
      <c r="P9" s="72"/>
      <c r="Q9" s="246">
        <v>23</v>
      </c>
      <c r="R9" s="247"/>
    </row>
    <row r="10" spans="1:18" x14ac:dyDescent="0.25">
      <c r="A10" s="235" t="s">
        <v>65</v>
      </c>
      <c r="B10" s="69"/>
      <c r="C10" s="29"/>
      <c r="D10" s="29"/>
      <c r="E10" s="68"/>
      <c r="F10" s="70"/>
      <c r="G10" s="29"/>
      <c r="H10" s="29"/>
      <c r="I10" s="29"/>
      <c r="J10" s="68"/>
      <c r="K10" s="70"/>
      <c r="L10" s="29"/>
      <c r="M10" s="29"/>
      <c r="N10" s="29"/>
      <c r="O10" s="68"/>
      <c r="P10" s="70"/>
      <c r="Q10" s="66">
        <v>26</v>
      </c>
      <c r="R10" s="247"/>
    </row>
    <row r="11" spans="1:18" x14ac:dyDescent="0.25">
      <c r="A11" s="235" t="s">
        <v>7</v>
      </c>
      <c r="B11" s="233">
        <f ca="1">ROUND(INDIRECT("'3.Прогноз.С корректировкой таб5'!"&amp;B$1&amp;$Q11),3)</f>
        <v>2.1880000000000002</v>
      </c>
      <c r="C11" s="90">
        <f t="shared" ref="C11:E15" ca="1" si="6">ROUND(INDIRECT("'3.Прогноз.С корректировкой таб5'!"&amp;C$1&amp;$Q11),3)</f>
        <v>1.0509999999999999</v>
      </c>
      <c r="D11" s="90">
        <f t="shared" ca="1" si="6"/>
        <v>1.5680000000000001</v>
      </c>
      <c r="E11" s="90">
        <f t="shared" ca="1" si="6"/>
        <v>1.204</v>
      </c>
      <c r="F11" s="72"/>
      <c r="G11" s="90">
        <f ca="1">ROUND(INDIRECT("'3.Прогноз.С корректировкой таб5'!"&amp;G$1&amp;$Q11),3)</f>
        <v>2.2679999999999998</v>
      </c>
      <c r="H11" s="90">
        <f t="shared" ref="H11:J15" ca="1" si="7">ROUND(INDIRECT("'3.Прогноз.С корректировкой таб5'!"&amp;H$1&amp;$Q11),3)</f>
        <v>1.0509999999999999</v>
      </c>
      <c r="I11" s="90">
        <f t="shared" ca="1" si="7"/>
        <v>1.5680000000000001</v>
      </c>
      <c r="J11" s="90">
        <f t="shared" ca="1" si="7"/>
        <v>1.204</v>
      </c>
      <c r="K11" s="72"/>
      <c r="L11" s="90">
        <f ca="1">ROUND(INDIRECT("'3.Прогноз.С корректировкой таб5'!"&amp;L$1&amp;$Q11),3)</f>
        <v>2.2679999999999998</v>
      </c>
      <c r="M11" s="90">
        <f t="shared" ref="M11:O15" ca="1" si="8">ROUND(INDIRECT("'3.Прогноз.С корректировкой таб5'!"&amp;M$1&amp;$Q11),3)</f>
        <v>1.0509999999999999</v>
      </c>
      <c r="N11" s="90">
        <f t="shared" ca="1" si="8"/>
        <v>1.5680000000000001</v>
      </c>
      <c r="O11" s="90">
        <f t="shared" ca="1" si="8"/>
        <v>1.204</v>
      </c>
      <c r="P11" s="72"/>
      <c r="Q11" s="65">
        <v>28</v>
      </c>
      <c r="R11" s="247"/>
    </row>
    <row r="12" spans="1:18" x14ac:dyDescent="0.25">
      <c r="A12" s="235" t="s">
        <v>64</v>
      </c>
      <c r="B12" s="233">
        <f t="shared" ref="B12:B15" ca="1" si="9">ROUND(INDIRECT("'3.Прогноз.С корректировкой таб5'!"&amp;B$1&amp;$Q12),3)</f>
        <v>0</v>
      </c>
      <c r="C12" s="90">
        <f t="shared" ca="1" si="6"/>
        <v>0</v>
      </c>
      <c r="D12" s="90">
        <f t="shared" ca="1" si="6"/>
        <v>0</v>
      </c>
      <c r="E12" s="90">
        <f t="shared" ca="1" si="6"/>
        <v>0</v>
      </c>
      <c r="F12" s="84"/>
      <c r="G12" s="90">
        <f t="shared" ref="G12:G15" ca="1" si="10">ROUND(INDIRECT("'3.Прогноз.С корректировкой таб5'!"&amp;G$1&amp;$Q12),3)</f>
        <v>0</v>
      </c>
      <c r="H12" s="90">
        <f t="shared" ca="1" si="7"/>
        <v>0</v>
      </c>
      <c r="I12" s="90">
        <f t="shared" ca="1" si="7"/>
        <v>0</v>
      </c>
      <c r="J12" s="90">
        <f t="shared" ca="1" si="7"/>
        <v>0</v>
      </c>
      <c r="K12" s="84"/>
      <c r="L12" s="90">
        <f t="shared" ref="L12:L15" ca="1" si="11">ROUND(INDIRECT("'3.Прогноз.С корректировкой таб5'!"&amp;L$1&amp;$Q12),3)</f>
        <v>0</v>
      </c>
      <c r="M12" s="90">
        <f t="shared" ca="1" si="8"/>
        <v>0</v>
      </c>
      <c r="N12" s="90">
        <f t="shared" ca="1" si="8"/>
        <v>0</v>
      </c>
      <c r="O12" s="90">
        <f t="shared" ca="1" si="8"/>
        <v>0</v>
      </c>
      <c r="P12" s="84"/>
      <c r="Q12" s="65">
        <v>33</v>
      </c>
      <c r="R12" s="247"/>
    </row>
    <row r="13" spans="1:18" x14ac:dyDescent="0.25">
      <c r="A13" s="235" t="s">
        <v>5</v>
      </c>
      <c r="B13" s="233">
        <f t="shared" ca="1" si="9"/>
        <v>0</v>
      </c>
      <c r="C13" s="90">
        <f t="shared" ca="1" si="6"/>
        <v>0</v>
      </c>
      <c r="D13" s="90">
        <f t="shared" ca="1" si="6"/>
        <v>0</v>
      </c>
      <c r="E13" s="90">
        <f t="shared" ca="1" si="6"/>
        <v>0</v>
      </c>
      <c r="F13" s="71"/>
      <c r="G13" s="90">
        <f t="shared" ca="1" si="10"/>
        <v>0</v>
      </c>
      <c r="H13" s="90">
        <f t="shared" ca="1" si="7"/>
        <v>0</v>
      </c>
      <c r="I13" s="90">
        <f t="shared" ca="1" si="7"/>
        <v>0</v>
      </c>
      <c r="J13" s="90">
        <f t="shared" ca="1" si="7"/>
        <v>0</v>
      </c>
      <c r="K13" s="71"/>
      <c r="L13" s="90">
        <f t="shared" ca="1" si="11"/>
        <v>0</v>
      </c>
      <c r="M13" s="90">
        <f t="shared" ca="1" si="8"/>
        <v>0</v>
      </c>
      <c r="N13" s="90">
        <f t="shared" ca="1" si="8"/>
        <v>0</v>
      </c>
      <c r="O13" s="90">
        <f t="shared" ca="1" si="8"/>
        <v>0</v>
      </c>
      <c r="P13" s="71"/>
      <c r="Q13" s="66">
        <v>38</v>
      </c>
      <c r="R13" s="247"/>
    </row>
    <row r="14" spans="1:18" x14ac:dyDescent="0.25">
      <c r="A14" s="235" t="s">
        <v>63</v>
      </c>
      <c r="B14" s="233">
        <f ca="1">ROUND(INDIRECT("'3.Прогноз.С корректировкой таб5'!"&amp;B$1&amp;$Q14),3)</f>
        <v>0</v>
      </c>
      <c r="C14" s="90">
        <f t="shared" ca="1" si="6"/>
        <v>0</v>
      </c>
      <c r="D14" s="90">
        <f t="shared" ca="1" si="6"/>
        <v>0</v>
      </c>
      <c r="E14" s="90">
        <f t="shared" ca="1" si="6"/>
        <v>0</v>
      </c>
      <c r="F14" s="70"/>
      <c r="G14" s="90">
        <f ca="1">ROUND(INDIRECT("'3.Прогноз.С корректировкой таб5'!"&amp;G$1&amp;$Q14),3)</f>
        <v>0</v>
      </c>
      <c r="H14" s="90">
        <f t="shared" ca="1" si="7"/>
        <v>0</v>
      </c>
      <c r="I14" s="90">
        <f t="shared" ca="1" si="7"/>
        <v>0</v>
      </c>
      <c r="J14" s="90">
        <f t="shared" ca="1" si="7"/>
        <v>0</v>
      </c>
      <c r="K14" s="70"/>
      <c r="L14" s="90">
        <f ca="1">ROUND(INDIRECT("'3.Прогноз.С корректировкой таб5'!"&amp;L$1&amp;$Q14),3)</f>
        <v>0</v>
      </c>
      <c r="M14" s="90">
        <f t="shared" ca="1" si="8"/>
        <v>0</v>
      </c>
      <c r="N14" s="90">
        <f t="shared" ca="1" si="8"/>
        <v>0</v>
      </c>
      <c r="O14" s="90">
        <f t="shared" ca="1" si="8"/>
        <v>0</v>
      </c>
      <c r="P14" s="70"/>
      <c r="Q14" s="66">
        <v>40</v>
      </c>
      <c r="R14" s="247"/>
    </row>
    <row r="15" spans="1:18" x14ac:dyDescent="0.25">
      <c r="A15" s="235" t="s">
        <v>6</v>
      </c>
      <c r="B15" s="233">
        <f t="shared" ca="1" si="9"/>
        <v>10.18</v>
      </c>
      <c r="C15" s="90">
        <f t="shared" ca="1" si="6"/>
        <v>10.182</v>
      </c>
      <c r="D15" s="90">
        <f t="shared" ca="1" si="6"/>
        <v>10.182</v>
      </c>
      <c r="E15" s="90">
        <f t="shared" ca="1" si="6"/>
        <v>10.183999999999999</v>
      </c>
      <c r="F15" s="70"/>
      <c r="G15" s="90">
        <f t="shared" ca="1" si="10"/>
        <v>10.18</v>
      </c>
      <c r="H15" s="90">
        <f t="shared" ca="1" si="7"/>
        <v>10.182</v>
      </c>
      <c r="I15" s="90">
        <f t="shared" ca="1" si="7"/>
        <v>10.182</v>
      </c>
      <c r="J15" s="90">
        <f t="shared" ca="1" si="7"/>
        <v>10.183999999999999</v>
      </c>
      <c r="K15" s="70"/>
      <c r="L15" s="90">
        <f t="shared" ca="1" si="11"/>
        <v>10.18</v>
      </c>
      <c r="M15" s="90">
        <f t="shared" ca="1" si="8"/>
        <v>10.182</v>
      </c>
      <c r="N15" s="90">
        <f t="shared" ca="1" si="8"/>
        <v>10.182</v>
      </c>
      <c r="O15" s="90">
        <f t="shared" ca="1" si="8"/>
        <v>10.183999999999999</v>
      </c>
      <c r="P15" s="70"/>
      <c r="Q15" s="66">
        <v>43</v>
      </c>
      <c r="R15" s="247"/>
    </row>
    <row r="16" spans="1:18" x14ac:dyDescent="0.25">
      <c r="A16" s="235" t="s">
        <v>62</v>
      </c>
      <c r="B16" s="69"/>
      <c r="C16" s="29"/>
      <c r="D16" s="29"/>
      <c r="E16" s="68"/>
      <c r="F16" s="70"/>
      <c r="G16" s="29"/>
      <c r="H16" s="29"/>
      <c r="I16" s="29"/>
      <c r="J16" s="68"/>
      <c r="K16" s="70"/>
      <c r="L16" s="29"/>
      <c r="M16" s="29"/>
      <c r="N16" s="29"/>
      <c r="O16" s="68"/>
      <c r="P16" s="70"/>
      <c r="Q16" s="66">
        <v>46</v>
      </c>
      <c r="R16" s="65"/>
    </row>
    <row r="17" spans="1:18" ht="15.75" thickBot="1" x14ac:dyDescent="0.3">
      <c r="A17" s="236" t="s">
        <v>8</v>
      </c>
      <c r="B17" s="237">
        <f ca="1">B5+B7+B8+B9-B11-B12-B13-B14-B15</f>
        <v>3.5999999999999996</v>
      </c>
      <c r="C17" s="238">
        <f ca="1">B17+C7+C8+C9-C11-C12-C13-C14-C15</f>
        <v>3.5999999999999996</v>
      </c>
      <c r="D17" s="238">
        <f ca="1">C17+D7+D8+D9-D11-D12-D13-D14-D15</f>
        <v>3.5999999999999996</v>
      </c>
      <c r="E17" s="238">
        <f ca="1">D17+E7+E8+E9-E11-E12-E13-E14-E15</f>
        <v>3.5999999999999996</v>
      </c>
      <c r="F17" s="239"/>
      <c r="G17" s="238">
        <f ca="1">E17+G7+G8+G9-G11-G12-G13-G14-G15</f>
        <v>3.6000000000000014</v>
      </c>
      <c r="H17" s="238">
        <f ca="1">G17+H7+H8+H9-H11-H12-H13-H14-H15</f>
        <v>3.6000000000000014</v>
      </c>
      <c r="I17" s="238">
        <f ca="1">H17+I7+I8+I9-I11-I12-I13-I14-I15</f>
        <v>3.6000000000000014</v>
      </c>
      <c r="J17" s="238">
        <f ca="1">I17+J7+J8+J9-J11-J12-J13-J14-J15</f>
        <v>3.6000000000000014</v>
      </c>
      <c r="K17" s="239"/>
      <c r="L17" s="238">
        <f ca="1">J17+L7+L8+L9-L11-L12-L13-L14-L15</f>
        <v>3.6000000000000014</v>
      </c>
      <c r="M17" s="238">
        <f ca="1">L17+M7+M8+M9-M11-M12-M13-M14-M15</f>
        <v>3.6000000000000014</v>
      </c>
      <c r="N17" s="238">
        <f ca="1">M17+N7+N8+N9-N11-N12-N13-N14-N15</f>
        <v>3.6000000000000014</v>
      </c>
      <c r="O17" s="238">
        <f ca="1">N17+O7+O8+O9-O11-O12-O13-O14-O15</f>
        <v>3.6000000000000014</v>
      </c>
      <c r="P17" s="239"/>
      <c r="Q17" s="66">
        <v>47</v>
      </c>
      <c r="R17" s="65"/>
    </row>
    <row r="18" spans="1:18" ht="15.75" thickBot="1" x14ac:dyDescent="0.3">
      <c r="A18" s="240" t="s">
        <v>61</v>
      </c>
      <c r="B18" s="241">
        <v>0</v>
      </c>
      <c r="C18" s="242">
        <v>0</v>
      </c>
      <c r="D18" s="242">
        <v>0</v>
      </c>
      <c r="E18" s="243">
        <v>0</v>
      </c>
      <c r="F18" s="244"/>
      <c r="G18" s="242">
        <v>0</v>
      </c>
      <c r="H18" s="242">
        <v>0</v>
      </c>
      <c r="I18" s="242">
        <v>0</v>
      </c>
      <c r="J18" s="243">
        <v>0</v>
      </c>
      <c r="K18" s="244"/>
      <c r="L18" s="242">
        <v>0</v>
      </c>
      <c r="M18" s="242">
        <v>0</v>
      </c>
      <c r="N18" s="242">
        <v>0</v>
      </c>
      <c r="O18" s="243">
        <v>0</v>
      </c>
      <c r="P18" s="244">
        <v>0</v>
      </c>
      <c r="R18" s="65"/>
    </row>
    <row r="22" spans="1:18" x14ac:dyDescent="0.25">
      <c r="C22" s="14"/>
    </row>
  </sheetData>
  <sheetProtection algorithmName="SHA-512" hashValue="rXuBeX4G9m+jT1vi5wEY9Rc3ZfSxuqQtlgxbxk3PGdHrQsGX/zRVbf9j11Cotz7JjC/fmpP8tVOfzLJA5TsO1Q==" saltValue="xnmgTlR9lW26/hxgKec2Pg==" spinCount="100000" sheet="1" objects="1" scenarios="1"/>
  <mergeCells count="7">
    <mergeCell ref="P3:P4"/>
    <mergeCell ref="A3:A4"/>
    <mergeCell ref="B3:E3"/>
    <mergeCell ref="F3:F4"/>
    <mergeCell ref="G3:J3"/>
    <mergeCell ref="K3:K4"/>
    <mergeCell ref="L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8"/>
  <sheetViews>
    <sheetView zoomScale="85" zoomScaleNormal="85" workbookViewId="0">
      <selection activeCell="B5" sqref="B5:C5"/>
    </sheetView>
  </sheetViews>
  <sheetFormatPr defaultRowHeight="15" x14ac:dyDescent="0.25"/>
  <cols>
    <col min="1" max="1" width="47.28515625" customWidth="1"/>
    <col min="2" max="4" width="13.5703125" customWidth="1"/>
    <col min="5" max="5" width="64.28515625" customWidth="1"/>
    <col min="6" max="6" width="27.7109375" customWidth="1"/>
  </cols>
  <sheetData>
    <row r="1" spans="1:6" x14ac:dyDescent="0.25">
      <c r="A1" s="339"/>
      <c r="B1" s="339"/>
      <c r="C1" s="339"/>
      <c r="D1" s="339"/>
      <c r="E1" s="339"/>
    </row>
    <row r="2" spans="1:6" ht="20.25" x14ac:dyDescent="0.3">
      <c r="A2" s="397" t="s">
        <v>127</v>
      </c>
      <c r="B2" s="397"/>
      <c r="C2" s="397"/>
      <c r="D2" s="397"/>
      <c r="E2" s="397"/>
    </row>
    <row r="3" spans="1:6" ht="15.75" thickBot="1" x14ac:dyDescent="0.3">
      <c r="A3" s="340"/>
      <c r="B3" s="340"/>
      <c r="C3" s="340"/>
      <c r="D3" s="340"/>
      <c r="E3" s="340"/>
    </row>
    <row r="4" spans="1:6" ht="43.5" thickBot="1" x14ac:dyDescent="0.3">
      <c r="A4" s="341" t="s">
        <v>128</v>
      </c>
      <c r="B4" s="341" t="str">
        <f>(YEAR(Date)-1)&amp;" год"</f>
        <v>2018 год</v>
      </c>
      <c r="C4" s="341" t="str">
        <f>(LEFT(B4,4)+1)&amp;" год"</f>
        <v>2019 год</v>
      </c>
      <c r="D4" s="341" t="s">
        <v>129</v>
      </c>
      <c r="E4" s="342" t="s">
        <v>130</v>
      </c>
      <c r="F4" s="343"/>
    </row>
    <row r="5" spans="1:6" ht="24.6" customHeight="1" x14ac:dyDescent="0.3">
      <c r="A5" s="344" t="s">
        <v>35</v>
      </c>
      <c r="B5" s="345">
        <f>SUM(B6,B7,B10)</f>
        <v>49.799000000000007</v>
      </c>
      <c r="C5" s="345">
        <f>SUM(C6,C7,C10)</f>
        <v>50.338999999999999</v>
      </c>
      <c r="D5" s="345">
        <f>IFERROR(C5/B5*100-100,"")</f>
        <v>1.0843591236771744</v>
      </c>
      <c r="E5" s="358"/>
      <c r="F5" s="346" t="str">
        <f t="shared" ref="F5:F18" si="0">IF(OR($D5&gt;10,$D5&lt;-10),IF($D5="","",IF($E5="","Внесите комментарий!","")),"")</f>
        <v/>
      </c>
    </row>
    <row r="6" spans="1:6" ht="24.6" customHeight="1" x14ac:dyDescent="0.3">
      <c r="A6" s="357" t="s">
        <v>132</v>
      </c>
      <c r="B6" s="347">
        <f>'1. Статистика'!M21</f>
        <v>3.6</v>
      </c>
      <c r="C6" s="347">
        <f>'3.Прогноз.С корректировкой таб5'!G9</f>
        <v>3.6</v>
      </c>
      <c r="D6" s="347">
        <f t="shared" ref="D6:D18" si="1">IFERROR(C6/B6*100-100,"")</f>
        <v>0</v>
      </c>
      <c r="E6" s="348"/>
      <c r="F6" s="346" t="str">
        <f t="shared" si="0"/>
        <v/>
      </c>
    </row>
    <row r="7" spans="1:6" ht="24.6" customHeight="1" x14ac:dyDescent="0.3">
      <c r="A7" s="357" t="s">
        <v>131</v>
      </c>
      <c r="B7" s="347">
        <f>SUM(B8:B9)</f>
        <v>0</v>
      </c>
      <c r="C7" s="347">
        <f>SUM(C8:C9)</f>
        <v>0</v>
      </c>
      <c r="D7" s="347" t="str">
        <f t="shared" si="1"/>
        <v/>
      </c>
      <c r="E7" s="348"/>
      <c r="F7" s="346" t="str">
        <f t="shared" si="0"/>
        <v/>
      </c>
    </row>
    <row r="8" spans="1:6" ht="24.6" customHeight="1" x14ac:dyDescent="0.3">
      <c r="A8" s="354" t="s">
        <v>133</v>
      </c>
      <c r="B8" s="355">
        <f>'1. Статистика'!M22</f>
        <v>0</v>
      </c>
      <c r="C8" s="355">
        <f>'3.Прогноз.С корректировкой таб5'!G11</f>
        <v>0</v>
      </c>
      <c r="D8" s="355" t="str">
        <f t="shared" si="1"/>
        <v/>
      </c>
      <c r="E8" s="356"/>
      <c r="F8" s="346" t="str">
        <f t="shared" si="0"/>
        <v/>
      </c>
    </row>
    <row r="9" spans="1:6" ht="24.6" customHeight="1" x14ac:dyDescent="0.3">
      <c r="A9" s="354" t="s">
        <v>134</v>
      </c>
      <c r="B9" s="355">
        <f>'1. Статистика'!M23</f>
        <v>0</v>
      </c>
      <c r="C9" s="355">
        <f>'3.Прогноз.С корректировкой таб5'!G16</f>
        <v>0</v>
      </c>
      <c r="D9" s="355" t="str">
        <f t="shared" si="1"/>
        <v/>
      </c>
      <c r="E9" s="356"/>
      <c r="F9" s="346" t="str">
        <f t="shared" si="0"/>
        <v/>
      </c>
    </row>
    <row r="10" spans="1:6" ht="24.6" customHeight="1" x14ac:dyDescent="0.3">
      <c r="A10" s="357" t="s">
        <v>135</v>
      </c>
      <c r="B10" s="347">
        <f>'1. Статистика'!M24</f>
        <v>46.199000000000005</v>
      </c>
      <c r="C10" s="347">
        <f>'3.Прогноз.С корректировкой таб5'!G23</f>
        <v>46.738999999999997</v>
      </c>
      <c r="D10" s="347">
        <f t="shared" si="1"/>
        <v>1.1688564687547114</v>
      </c>
      <c r="E10" s="348"/>
      <c r="F10" s="346" t="str">
        <f t="shared" si="0"/>
        <v/>
      </c>
    </row>
    <row r="11" spans="1:6" ht="24.6" customHeight="1" x14ac:dyDescent="0.3">
      <c r="A11" s="349" t="s">
        <v>40</v>
      </c>
      <c r="B11" s="350">
        <f>SUM(B12,B15:B17)</f>
        <v>46.199000000000005</v>
      </c>
      <c r="C11" s="350">
        <f>SUM(C12,C15:C17)</f>
        <v>46.739000000000004</v>
      </c>
      <c r="D11" s="350">
        <f t="shared" si="1"/>
        <v>1.1688564687547256</v>
      </c>
      <c r="E11" s="359"/>
      <c r="F11" s="346" t="str">
        <f t="shared" si="0"/>
        <v/>
      </c>
    </row>
    <row r="12" spans="1:6" ht="24.6" customHeight="1" x14ac:dyDescent="0.3">
      <c r="A12" s="357" t="s">
        <v>138</v>
      </c>
      <c r="B12" s="347">
        <f>SUM(B13:B14)</f>
        <v>5.471000000000001</v>
      </c>
      <c r="C12" s="347">
        <f>SUM(C13:C14)</f>
        <v>6.0110000000000001</v>
      </c>
      <c r="D12" s="347">
        <f t="shared" si="1"/>
        <v>9.8702248217875876</v>
      </c>
      <c r="E12" s="360"/>
      <c r="F12" s="346" t="str">
        <f t="shared" si="0"/>
        <v/>
      </c>
    </row>
    <row r="13" spans="1:6" ht="24.6" customHeight="1" x14ac:dyDescent="0.3">
      <c r="A13" s="354" t="s">
        <v>136</v>
      </c>
      <c r="B13" s="355">
        <f>'1. Статистика'!M26</f>
        <v>5.471000000000001</v>
      </c>
      <c r="C13" s="355">
        <f>'3.Прогноз.С корректировкой таб5'!G28</f>
        <v>6.0110000000000001</v>
      </c>
      <c r="D13" s="355">
        <f t="shared" si="1"/>
        <v>9.8702248217875876</v>
      </c>
      <c r="E13" s="356"/>
      <c r="F13" s="346" t="str">
        <f t="shared" si="0"/>
        <v/>
      </c>
    </row>
    <row r="14" spans="1:6" ht="24.6" customHeight="1" x14ac:dyDescent="0.3">
      <c r="A14" s="354" t="s">
        <v>137</v>
      </c>
      <c r="B14" s="355">
        <f>'1. Статистика'!M27</f>
        <v>0</v>
      </c>
      <c r="C14" s="355">
        <f>'3.Прогноз.С корректировкой таб5'!G33</f>
        <v>0</v>
      </c>
      <c r="D14" s="355" t="str">
        <f t="shared" si="1"/>
        <v/>
      </c>
      <c r="E14" s="356"/>
      <c r="F14" s="346" t="str">
        <f t="shared" si="0"/>
        <v/>
      </c>
    </row>
    <row r="15" spans="1:6" ht="24.6" customHeight="1" x14ac:dyDescent="0.3">
      <c r="A15" s="357" t="s">
        <v>139</v>
      </c>
      <c r="B15" s="347">
        <f>'1. Статистика'!M28</f>
        <v>0</v>
      </c>
      <c r="C15" s="347">
        <f>'3.Прогноз.С корректировкой таб5'!G38</f>
        <v>0</v>
      </c>
      <c r="D15" s="347" t="str">
        <f t="shared" si="1"/>
        <v/>
      </c>
      <c r="E15" s="348"/>
      <c r="F15" s="346" t="str">
        <f t="shared" si="0"/>
        <v/>
      </c>
    </row>
    <row r="16" spans="1:6" ht="24.6" customHeight="1" x14ac:dyDescent="0.3">
      <c r="A16" s="357" t="s">
        <v>140</v>
      </c>
      <c r="B16" s="347">
        <f>'1. Статистика'!M29</f>
        <v>0</v>
      </c>
      <c r="C16" s="347">
        <f>'3.Прогноз.С корректировкой таб5'!G40</f>
        <v>0</v>
      </c>
      <c r="D16" s="347" t="str">
        <f t="shared" si="1"/>
        <v/>
      </c>
      <c r="E16" s="348"/>
      <c r="F16" s="346" t="str">
        <f t="shared" si="0"/>
        <v/>
      </c>
    </row>
    <row r="17" spans="1:6" ht="24.6" customHeight="1" x14ac:dyDescent="0.3">
      <c r="A17" s="357" t="s">
        <v>141</v>
      </c>
      <c r="B17" s="347">
        <f>'1. Статистика'!M30</f>
        <v>40.728000000000002</v>
      </c>
      <c r="C17" s="347">
        <f>'3.Прогноз.С корректировкой таб5'!G43</f>
        <v>40.728000000000002</v>
      </c>
      <c r="D17" s="347">
        <f t="shared" si="1"/>
        <v>0</v>
      </c>
      <c r="E17" s="348"/>
      <c r="F17" s="346" t="str">
        <f t="shared" si="0"/>
        <v/>
      </c>
    </row>
    <row r="18" spans="1:6" ht="24.6" customHeight="1" thickBot="1" x14ac:dyDescent="0.35">
      <c r="A18" s="351" t="s">
        <v>52</v>
      </c>
      <c r="B18" s="352">
        <f>'1. Статистика'!M31</f>
        <v>3.6</v>
      </c>
      <c r="C18" s="352">
        <f>'3.Прогноз.С корректировкой таб5'!G47</f>
        <v>3.6</v>
      </c>
      <c r="D18" s="352">
        <f t="shared" si="1"/>
        <v>0</v>
      </c>
      <c r="E18" s="353"/>
      <c r="F18" s="346" t="str">
        <f t="shared" si="0"/>
        <v/>
      </c>
    </row>
  </sheetData>
  <sheetProtection algorithmName="SHA-512" hashValue="H+Pd0mEO+CrT0lUVPs2vQo6SJmFFEMKCyG0E5h1tPsC5agrYJHbA6owPTMy1ou/2oHebqBjrArlICs1Cf8dRqg==" saltValue="oHVgIcxj2i9V3dIoFi/FRg==" spinCount="100000" sheet="1" objects="1" scenarios="1"/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1. Статистика</vt:lpstr>
      <vt:lpstr>2. Прогноз. Без корректировки</vt:lpstr>
      <vt:lpstr>3.Прогноз.С корректировкой таб5</vt:lpstr>
      <vt:lpstr>4.Комментарий</vt:lpstr>
      <vt:lpstr>Date</vt:lpstr>
      <vt:lpstr>DocN</vt:lpstr>
      <vt:lpstr>Test_date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Degtyarev</dc:creator>
  <cp:lastModifiedBy>Елизарова Галина Анатольевна</cp:lastModifiedBy>
  <cp:revision>11</cp:revision>
  <cp:lastPrinted>2017-12-06T12:30:45Z</cp:lastPrinted>
  <dcterms:created xsi:type="dcterms:W3CDTF">2006-09-16T00:00:00Z</dcterms:created>
  <dcterms:modified xsi:type="dcterms:W3CDTF">2020-03-17T12:29:31Z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