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workbookProtection workbookAlgorithmName="SHA-512" workbookHashValue="nayAa1iguc/MnIJyx4VuK/vm+t3DZsQQAwBY/+OBydTYu1BUkZozWSzbA6/D3T2iN3Djswah+P2r7Z+r/97sLg==" workbookSaltValue="Ib3TDW1S4v31B/stgJNPAw==" workbookSpinCount="100000" lockStructure="1"/>
  <bookViews>
    <workbookView xWindow="30" yWindow="750" windowWidth="24240" windowHeight="13620" tabRatio="753" activeTab="1"/>
  </bookViews>
  <sheets>
    <sheet name="1. Статистика" sheetId="6" r:id="rId1"/>
    <sheet name="2. Прогноз. Без корректировки" sheetId="7" r:id="rId2"/>
    <sheet name="3.Прогноз.С корректировкой таб8" sheetId="13" r:id="rId3"/>
    <sheet name="Баланс" sheetId="14" state="veryHidden" r:id="rId4"/>
    <sheet name="4. Комментарии" sheetId="15" r:id="rId5"/>
  </sheets>
  <definedNames>
    <definedName name="_xlnm._FilterDatabase" localSheetId="0" hidden="1">'1. Статистика'!$A$38:$Q$50</definedName>
    <definedName name="_xlnm._FilterDatabase" localSheetId="1" hidden="1">'2. Прогноз. Без корректировки'!$A$7:$Q$40</definedName>
    <definedName name="Date">Баланс!$R$1</definedName>
    <definedName name="DocN">Баланс!$Q$1</definedName>
    <definedName name="Test_date">Баланс!$R$2</definedName>
    <definedName name="_xlnm.Print_Area" localSheetId="1">'2. Прогноз. Без корректировки'!$A$1:$Q$170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6" i="7" l="1"/>
  <c r="Q15" i="7"/>
  <c r="L16" i="7"/>
  <c r="L15" i="7"/>
  <c r="R2" i="14" l="1"/>
  <c r="B3" i="14" s="1"/>
  <c r="P38" i="13"/>
  <c r="O38" i="13"/>
  <c r="N38" i="13"/>
  <c r="M38" i="13"/>
  <c r="Q38" i="13" s="1"/>
  <c r="K38" i="13"/>
  <c r="J38" i="13"/>
  <c r="I38" i="13"/>
  <c r="H38" i="13"/>
  <c r="L38" i="13" s="1"/>
  <c r="F38" i="13"/>
  <c r="E38" i="13"/>
  <c r="E36" i="13" s="1"/>
  <c r="J37" i="13" s="1"/>
  <c r="J36" i="13" s="1"/>
  <c r="O37" i="13" s="1"/>
  <c r="O36" i="13" s="1"/>
  <c r="D38" i="13"/>
  <c r="C38" i="13"/>
  <c r="F37" i="13"/>
  <c r="E37" i="13"/>
  <c r="D37" i="13"/>
  <c r="C37" i="13"/>
  <c r="G37" i="13" s="1"/>
  <c r="F36" i="13"/>
  <c r="K37" i="13" s="1"/>
  <c r="K36" i="13" s="1"/>
  <c r="P37" i="13" s="1"/>
  <c r="P36" i="13" s="1"/>
  <c r="D36" i="13"/>
  <c r="I37" i="13" s="1"/>
  <c r="I36" i="13" s="1"/>
  <c r="N37" i="13" s="1"/>
  <c r="N36" i="13" s="1"/>
  <c r="C36" i="13"/>
  <c r="H37" i="13" s="1"/>
  <c r="F34" i="13"/>
  <c r="E34" i="13"/>
  <c r="D34" i="13"/>
  <c r="C34" i="13"/>
  <c r="G34" i="13" s="1"/>
  <c r="P30" i="13"/>
  <c r="O30" i="13"/>
  <c r="N30" i="13"/>
  <c r="M30" i="13"/>
  <c r="Q30" i="13" s="1"/>
  <c r="K30" i="13"/>
  <c r="J30" i="13"/>
  <c r="I30" i="13"/>
  <c r="H30" i="13"/>
  <c r="L30" i="13" s="1"/>
  <c r="F30" i="13"/>
  <c r="E30" i="13"/>
  <c r="D30" i="13"/>
  <c r="C30" i="13"/>
  <c r="G30" i="13" s="1"/>
  <c r="P29" i="13"/>
  <c r="O29" i="13"/>
  <c r="N29" i="13"/>
  <c r="M29" i="13"/>
  <c r="Q29" i="13" s="1"/>
  <c r="K29" i="13"/>
  <c r="J29" i="13"/>
  <c r="I29" i="13"/>
  <c r="H29" i="13"/>
  <c r="L29" i="13" s="1"/>
  <c r="F29" i="13"/>
  <c r="E29" i="13"/>
  <c r="D29" i="13"/>
  <c r="C29" i="13"/>
  <c r="G29" i="13" s="1"/>
  <c r="P28" i="13"/>
  <c r="O28" i="13"/>
  <c r="N28" i="13"/>
  <c r="M28" i="13"/>
  <c r="Q28" i="13" s="1"/>
  <c r="K28" i="13"/>
  <c r="J28" i="13"/>
  <c r="I28" i="13"/>
  <c r="H28" i="13"/>
  <c r="L28" i="13" s="1"/>
  <c r="F28" i="13"/>
  <c r="E28" i="13"/>
  <c r="D28" i="13"/>
  <c r="C28" i="13"/>
  <c r="G28" i="13" s="1"/>
  <c r="M27" i="13"/>
  <c r="F27" i="13"/>
  <c r="E27" i="13"/>
  <c r="E26" i="13" s="1"/>
  <c r="J27" i="13" s="1"/>
  <c r="D27" i="13"/>
  <c r="C27" i="13"/>
  <c r="C26" i="13" s="1"/>
  <c r="H27" i="13" s="1"/>
  <c r="J26" i="13"/>
  <c r="O27" i="13" s="1"/>
  <c r="O26" i="13" s="1"/>
  <c r="H26" i="13"/>
  <c r="F26" i="13"/>
  <c r="K27" i="13" s="1"/>
  <c r="K26" i="13" s="1"/>
  <c r="P27" i="13" s="1"/>
  <c r="P26" i="13" s="1"/>
  <c r="D26" i="13"/>
  <c r="I27" i="13" s="1"/>
  <c r="I26" i="13" s="1"/>
  <c r="N27" i="13" s="1"/>
  <c r="N26" i="13" s="1"/>
  <c r="P25" i="13"/>
  <c r="O25" i="13"/>
  <c r="N25" i="13"/>
  <c r="M25" i="13"/>
  <c r="Q25" i="13" s="1"/>
  <c r="K25" i="13"/>
  <c r="J25" i="13"/>
  <c r="I25" i="13"/>
  <c r="H25" i="13"/>
  <c r="F25" i="13"/>
  <c r="E25" i="13"/>
  <c r="D25" i="13"/>
  <c r="C25" i="13"/>
  <c r="C23" i="13" s="1"/>
  <c r="F24" i="13"/>
  <c r="F23" i="13" s="1"/>
  <c r="E24" i="13"/>
  <c r="D24" i="13"/>
  <c r="D23" i="13" s="1"/>
  <c r="C24" i="13"/>
  <c r="E23" i="13"/>
  <c r="F20" i="13"/>
  <c r="E20" i="13"/>
  <c r="D20" i="13"/>
  <c r="C20" i="13"/>
  <c r="D18" i="13"/>
  <c r="I18" i="13" s="1"/>
  <c r="N18" i="13" s="1"/>
  <c r="G9" i="13"/>
  <c r="C9" i="13"/>
  <c r="H7" i="13"/>
  <c r="L7" i="13" s="1"/>
  <c r="C7" i="13"/>
  <c r="G7" i="13" s="1"/>
  <c r="E170" i="7"/>
  <c r="Q38" i="7"/>
  <c r="L38" i="7"/>
  <c r="G38" i="7"/>
  <c r="F37" i="7"/>
  <c r="F36" i="7" s="1"/>
  <c r="K37" i="7" s="1"/>
  <c r="E37" i="7"/>
  <c r="D37" i="7"/>
  <c r="D36" i="7" s="1"/>
  <c r="I37" i="7" s="1"/>
  <c r="I36" i="7" s="1"/>
  <c r="N37" i="7" s="1"/>
  <c r="N36" i="7" s="1"/>
  <c r="C37" i="7"/>
  <c r="G37" i="7" s="1"/>
  <c r="K36" i="7"/>
  <c r="P37" i="7" s="1"/>
  <c r="P36" i="7" s="1"/>
  <c r="G36" i="7"/>
  <c r="E36" i="7"/>
  <c r="J37" i="7" s="1"/>
  <c r="J36" i="7" s="1"/>
  <c r="O37" i="7" s="1"/>
  <c r="O36" i="7" s="1"/>
  <c r="C36" i="7"/>
  <c r="H37" i="7" s="1"/>
  <c r="Q35" i="7"/>
  <c r="L35" i="7"/>
  <c r="G35" i="7"/>
  <c r="F34" i="7"/>
  <c r="E34" i="7"/>
  <c r="E33" i="7" s="1"/>
  <c r="J34" i="7" s="1"/>
  <c r="D34" i="7"/>
  <c r="C34" i="7"/>
  <c r="C33" i="7" s="1"/>
  <c r="J33" i="7"/>
  <c r="O34" i="7" s="1"/>
  <c r="O33" i="7" s="1"/>
  <c r="M79" i="6" s="1"/>
  <c r="F33" i="7"/>
  <c r="K34" i="7" s="1"/>
  <c r="K33" i="7" s="1"/>
  <c r="P34" i="7" s="1"/>
  <c r="P33" i="7" s="1"/>
  <c r="D33" i="7"/>
  <c r="I34" i="7" s="1"/>
  <c r="I33" i="7" s="1"/>
  <c r="N34" i="7" s="1"/>
  <c r="N33" i="7" s="1"/>
  <c r="L79" i="6" s="1"/>
  <c r="Q30" i="7"/>
  <c r="L30" i="7"/>
  <c r="G30" i="7"/>
  <c r="Q29" i="7"/>
  <c r="L29" i="7"/>
  <c r="G29" i="7"/>
  <c r="P28" i="7"/>
  <c r="O28" i="7"/>
  <c r="N28" i="7"/>
  <c r="M28" i="7"/>
  <c r="Q28" i="7" s="1"/>
  <c r="K28" i="7"/>
  <c r="J28" i="7"/>
  <c r="I28" i="7"/>
  <c r="H28" i="7"/>
  <c r="L28" i="7" s="1"/>
  <c r="F28" i="7"/>
  <c r="E28" i="7"/>
  <c r="D28" i="7"/>
  <c r="C28" i="7"/>
  <c r="G28" i="7" s="1"/>
  <c r="G26" i="7" s="1"/>
  <c r="F27" i="7"/>
  <c r="F26" i="7" s="1"/>
  <c r="K27" i="7" s="1"/>
  <c r="E27" i="7"/>
  <c r="D27" i="7"/>
  <c r="D26" i="7" s="1"/>
  <c r="I27" i="7" s="1"/>
  <c r="C27" i="7"/>
  <c r="G27" i="7" s="1"/>
  <c r="K26" i="7"/>
  <c r="P27" i="7" s="1"/>
  <c r="P26" i="7" s="1"/>
  <c r="I26" i="7"/>
  <c r="N27" i="7" s="1"/>
  <c r="N26" i="7" s="1"/>
  <c r="E26" i="7"/>
  <c r="J27" i="7" s="1"/>
  <c r="J26" i="7" s="1"/>
  <c r="O27" i="7" s="1"/>
  <c r="O26" i="7" s="1"/>
  <c r="C26" i="7"/>
  <c r="H27" i="7" s="1"/>
  <c r="Q25" i="7"/>
  <c r="L25" i="7"/>
  <c r="G25" i="7"/>
  <c r="F24" i="7"/>
  <c r="E24" i="7"/>
  <c r="E23" i="7" s="1"/>
  <c r="D24" i="7"/>
  <c r="C24" i="7"/>
  <c r="C23" i="7" s="1"/>
  <c r="F23" i="7"/>
  <c r="D23" i="7"/>
  <c r="Q21" i="7"/>
  <c r="L21" i="7"/>
  <c r="G21" i="7"/>
  <c r="F20" i="7"/>
  <c r="E20" i="7"/>
  <c r="E19" i="7" s="1"/>
  <c r="D20" i="7"/>
  <c r="C20" i="7"/>
  <c r="C19" i="7" s="1"/>
  <c r="F19" i="7"/>
  <c r="K20" i="7" s="1"/>
  <c r="K19" i="7" s="1"/>
  <c r="P20" i="7" s="1"/>
  <c r="P19" i="7" s="1"/>
  <c r="N78" i="6" s="1"/>
  <c r="D19" i="7"/>
  <c r="I20" i="7" s="1"/>
  <c r="I19" i="7" s="1"/>
  <c r="N20" i="7" s="1"/>
  <c r="N19" i="7" s="1"/>
  <c r="L78" i="6" s="1"/>
  <c r="K18" i="7"/>
  <c r="P18" i="7" s="1"/>
  <c r="I18" i="7"/>
  <c r="N18" i="7" s="1"/>
  <c r="F18" i="7"/>
  <c r="F18" i="13" s="1"/>
  <c r="K18" i="13" s="1"/>
  <c r="P18" i="13" s="1"/>
  <c r="E18" i="13"/>
  <c r="J18" i="13" s="1"/>
  <c r="O18" i="13" s="1"/>
  <c r="C18" i="13"/>
  <c r="H18" i="13" s="1"/>
  <c r="G16" i="13"/>
  <c r="G7" i="7"/>
  <c r="C7" i="7"/>
  <c r="H7" i="7" s="1"/>
  <c r="N81" i="6"/>
  <c r="J81" i="6"/>
  <c r="F81" i="6"/>
  <c r="N79" i="6"/>
  <c r="J79" i="6"/>
  <c r="I79" i="6"/>
  <c r="F79" i="6"/>
  <c r="E79" i="6"/>
  <c r="D79" i="6"/>
  <c r="C79" i="6"/>
  <c r="H78" i="6"/>
  <c r="F78" i="6"/>
  <c r="D78" i="6"/>
  <c r="C75" i="6"/>
  <c r="G75" i="6" s="1"/>
  <c r="K75" i="6" s="1"/>
  <c r="C70" i="6"/>
  <c r="H70" i="6" s="1"/>
  <c r="C69" i="6"/>
  <c r="H69" i="6" s="1"/>
  <c r="C67" i="6"/>
  <c r="D67" i="6" s="1"/>
  <c r="V63" i="6"/>
  <c r="U63" i="6"/>
  <c r="T63" i="6"/>
  <c r="S63" i="6"/>
  <c r="Q63" i="6"/>
  <c r="P63" i="6"/>
  <c r="O63" i="6"/>
  <c r="N63" i="6"/>
  <c r="M63" i="6"/>
  <c r="L63" i="6"/>
  <c r="K63" i="6"/>
  <c r="J63" i="6"/>
  <c r="I63" i="6"/>
  <c r="G63" i="6"/>
  <c r="F63" i="6"/>
  <c r="E63" i="6"/>
  <c r="D63" i="6"/>
  <c r="C63" i="6"/>
  <c r="AK61" i="6"/>
  <c r="G9" i="7" s="1"/>
  <c r="AJ61" i="6"/>
  <c r="AI61" i="6"/>
  <c r="AH61" i="6"/>
  <c r="AG61" i="6"/>
  <c r="AF61" i="6"/>
  <c r="AE61" i="6"/>
  <c r="AD61" i="6"/>
  <c r="L81" i="6" s="1"/>
  <c r="AC61" i="6"/>
  <c r="AB61" i="6"/>
  <c r="AA61" i="6"/>
  <c r="Z61" i="6"/>
  <c r="Y61" i="6"/>
  <c r="X61" i="6"/>
  <c r="W61" i="6"/>
  <c r="R61" i="6"/>
  <c r="R63" i="6" s="1"/>
  <c r="M61" i="6"/>
  <c r="H61" i="6"/>
  <c r="H63" i="6" s="1"/>
  <c r="C61" i="6"/>
  <c r="D59" i="6"/>
  <c r="C59" i="6"/>
  <c r="H59" i="6" s="1"/>
  <c r="M59" i="6" s="1"/>
  <c r="R59" i="6" s="1"/>
  <c r="W59" i="6" s="1"/>
  <c r="AB59" i="6" s="1"/>
  <c r="AG59" i="6" s="1"/>
  <c r="AH59" i="6" s="1"/>
  <c r="N52" i="6"/>
  <c r="J52" i="6"/>
  <c r="D52" i="6"/>
  <c r="M50" i="6"/>
  <c r="B17" i="15" s="1"/>
  <c r="H50" i="6"/>
  <c r="C50" i="6"/>
  <c r="M49" i="6"/>
  <c r="B16" i="15" s="1"/>
  <c r="H49" i="6"/>
  <c r="C49" i="6"/>
  <c r="M48" i="6"/>
  <c r="B15" i="15" s="1"/>
  <c r="H48" i="6"/>
  <c r="C48" i="6"/>
  <c r="M47" i="6"/>
  <c r="B14" i="15" s="1"/>
  <c r="H47" i="6"/>
  <c r="C47" i="6"/>
  <c r="M46" i="6"/>
  <c r="B13" i="15" s="1"/>
  <c r="H46" i="6"/>
  <c r="C46" i="6"/>
  <c r="M45" i="6"/>
  <c r="B12" i="15" s="1"/>
  <c r="H45" i="6"/>
  <c r="C45" i="6"/>
  <c r="E44" i="6"/>
  <c r="E52" i="6" s="1"/>
  <c r="D44" i="6"/>
  <c r="D54" i="6" s="1"/>
  <c r="M43" i="6"/>
  <c r="B10" i="15" s="1"/>
  <c r="H43" i="6"/>
  <c r="C43" i="6"/>
  <c r="M42" i="6"/>
  <c r="B9" i="15" s="1"/>
  <c r="H42" i="6"/>
  <c r="C42" i="6"/>
  <c r="C44" i="6" s="1"/>
  <c r="C52" i="6" s="1"/>
  <c r="M41" i="6"/>
  <c r="B8" i="15" s="1"/>
  <c r="H41" i="6"/>
  <c r="C41" i="6"/>
  <c r="Q40" i="6"/>
  <c r="Q44" i="6" s="1"/>
  <c r="P40" i="6"/>
  <c r="P44" i="6" s="1"/>
  <c r="P54" i="6" s="1"/>
  <c r="O40" i="6"/>
  <c r="O44" i="6" s="1"/>
  <c r="N40" i="6"/>
  <c r="N44" i="6" s="1"/>
  <c r="N54" i="6" s="1"/>
  <c r="M40" i="6"/>
  <c r="B6" i="15" s="1"/>
  <c r="L40" i="6"/>
  <c r="L44" i="6" s="1"/>
  <c r="L54" i="6" s="1"/>
  <c r="K40" i="6"/>
  <c r="K44" i="6" s="1"/>
  <c r="J40" i="6"/>
  <c r="J44" i="6" s="1"/>
  <c r="J54" i="6" s="1"/>
  <c r="I40" i="6"/>
  <c r="H40" i="6" s="1"/>
  <c r="H44" i="6" s="1"/>
  <c r="H52" i="6" s="1"/>
  <c r="G40" i="6"/>
  <c r="G44" i="6" s="1"/>
  <c r="F40" i="6"/>
  <c r="F44" i="6" s="1"/>
  <c r="F54" i="6" s="1"/>
  <c r="E40" i="6"/>
  <c r="C40" i="6"/>
  <c r="D38" i="6"/>
  <c r="C38" i="6"/>
  <c r="H38" i="6" s="1"/>
  <c r="M38" i="6" s="1"/>
  <c r="N38" i="6" s="1"/>
  <c r="M34" i="6"/>
  <c r="H34" i="6"/>
  <c r="C34" i="6"/>
  <c r="H32" i="6"/>
  <c r="M32" i="6" s="1"/>
  <c r="C32" i="6"/>
  <c r="C27" i="6"/>
  <c r="D26" i="6"/>
  <c r="C26" i="6"/>
  <c r="C25" i="6"/>
  <c r="D24" i="6"/>
  <c r="E24" i="6" s="1"/>
  <c r="C24" i="6"/>
  <c r="E17" i="6"/>
  <c r="D17" i="6"/>
  <c r="C17" i="6"/>
  <c r="D16" i="6"/>
  <c r="E16" i="6" s="1"/>
  <c r="C16" i="6"/>
  <c r="F12" i="6"/>
  <c r="G11" i="6"/>
  <c r="G13" i="7"/>
  <c r="G13" i="13" s="1"/>
  <c r="E9" i="6"/>
  <c r="D9" i="6"/>
  <c r="C9" i="6"/>
  <c r="E8" i="6"/>
  <c r="F8" i="6" s="1"/>
  <c r="G8" i="6" s="1"/>
  <c r="H8" i="6" s="1"/>
  <c r="C8" i="6"/>
  <c r="D8" i="6" s="1"/>
  <c r="O13" i="14"/>
  <c r="N10" i="14"/>
  <c r="M13" i="14"/>
  <c r="J10" i="14"/>
  <c r="N13" i="14"/>
  <c r="D10" i="14"/>
  <c r="E13" i="14"/>
  <c r="C10" i="14"/>
  <c r="B13" i="14"/>
  <c r="B9" i="14"/>
  <c r="M10" i="14"/>
  <c r="B5" i="14"/>
  <c r="G10" i="14"/>
  <c r="H13" i="14"/>
  <c r="E10" i="14"/>
  <c r="D13" i="14"/>
  <c r="D9" i="14"/>
  <c r="O10" i="14"/>
  <c r="C9" i="14"/>
  <c r="I10" i="14"/>
  <c r="J13" i="14"/>
  <c r="H10" i="14"/>
  <c r="I13" i="14"/>
  <c r="B10" i="14"/>
  <c r="C13" i="14"/>
  <c r="E9" i="14"/>
  <c r="J78" i="6" l="1"/>
  <c r="G38" i="13"/>
  <c r="G36" i="13" s="1"/>
  <c r="C16" i="15" s="1"/>
  <c r="D16" i="15" s="1"/>
  <c r="F16" i="15" s="1"/>
  <c r="H79" i="6"/>
  <c r="K52" i="6"/>
  <c r="K54" i="6"/>
  <c r="O52" i="6"/>
  <c r="O54" i="6"/>
  <c r="Q52" i="6"/>
  <c r="Q54" i="6"/>
  <c r="G52" i="6"/>
  <c r="G54" i="6"/>
  <c r="G10" i="6"/>
  <c r="F9" i="6"/>
  <c r="G12" i="7"/>
  <c r="L16" i="13"/>
  <c r="E26" i="6"/>
  <c r="Q16" i="13" s="1"/>
  <c r="I38" i="6"/>
  <c r="H54" i="6"/>
  <c r="I44" i="6"/>
  <c r="F52" i="6"/>
  <c r="C54" i="6"/>
  <c r="Q13" i="7"/>
  <c r="Q13" i="13" s="1"/>
  <c r="L13" i="7"/>
  <c r="L13" i="13" s="1"/>
  <c r="G15" i="13"/>
  <c r="D25" i="6"/>
  <c r="G17" i="13"/>
  <c r="D27" i="6"/>
  <c r="L52" i="6"/>
  <c r="P52" i="6"/>
  <c r="E54" i="6"/>
  <c r="N59" i="6"/>
  <c r="X59" i="6"/>
  <c r="K81" i="6"/>
  <c r="G81" i="6"/>
  <c r="C81" i="6"/>
  <c r="M81" i="6"/>
  <c r="I81" i="6"/>
  <c r="E81" i="6"/>
  <c r="D81" i="6"/>
  <c r="H81" i="6"/>
  <c r="M7" i="7"/>
  <c r="Q7" i="7" s="1"/>
  <c r="L7" i="7"/>
  <c r="H24" i="7"/>
  <c r="J24" i="7"/>
  <c r="J23" i="7" s="1"/>
  <c r="H24" i="13"/>
  <c r="G12" i="6"/>
  <c r="G14" i="7"/>
  <c r="G14" i="13" s="1"/>
  <c r="M44" i="6"/>
  <c r="M52" i="6" s="1"/>
  <c r="I59" i="6"/>
  <c r="S59" i="6"/>
  <c r="AC59" i="6"/>
  <c r="C9" i="7"/>
  <c r="M18" i="13"/>
  <c r="Q18" i="13" s="1"/>
  <c r="L18" i="13"/>
  <c r="H20" i="7"/>
  <c r="C78" i="6"/>
  <c r="J20" i="7"/>
  <c r="J19" i="7" s="1"/>
  <c r="E78" i="6"/>
  <c r="H26" i="7"/>
  <c r="M27" i="7" s="1"/>
  <c r="L27" i="7"/>
  <c r="L26" i="7" s="1"/>
  <c r="H36" i="7"/>
  <c r="M37" i="7" s="1"/>
  <c r="L37" i="7"/>
  <c r="L36" i="7" s="1"/>
  <c r="I24" i="7"/>
  <c r="I23" i="7" s="1"/>
  <c r="C6" i="15"/>
  <c r="I24" i="13"/>
  <c r="I23" i="13" s="1"/>
  <c r="K24" i="13"/>
  <c r="K23" i="13" s="1"/>
  <c r="J24" i="13"/>
  <c r="J23" i="13" s="1"/>
  <c r="G25" i="13"/>
  <c r="Q27" i="13"/>
  <c r="Q26" i="13" s="1"/>
  <c r="M26" i="13"/>
  <c r="G18" i="13"/>
  <c r="C9" i="15" s="1"/>
  <c r="D9" i="15" s="1"/>
  <c r="F9" i="15" s="1"/>
  <c r="G18" i="7"/>
  <c r="G20" i="7"/>
  <c r="G19" i="7" s="1"/>
  <c r="G24" i="7"/>
  <c r="G23" i="7" s="1"/>
  <c r="K24" i="7"/>
  <c r="K23" i="7" s="1"/>
  <c r="B7" i="15"/>
  <c r="B5" i="15" s="1"/>
  <c r="B11" i="15"/>
  <c r="H18" i="7"/>
  <c r="H34" i="7"/>
  <c r="G33" i="7"/>
  <c r="G34" i="7"/>
  <c r="M7" i="13"/>
  <c r="Q7" i="13" s="1"/>
  <c r="G20" i="13"/>
  <c r="G24" i="13"/>
  <c r="L25" i="13"/>
  <c r="L27" i="13"/>
  <c r="L26" i="13" s="1"/>
  <c r="G27" i="13"/>
  <c r="G26" i="13" s="1"/>
  <c r="C13" i="15" s="1"/>
  <c r="D13" i="15" s="1"/>
  <c r="F13" i="15" s="1"/>
  <c r="H36" i="13"/>
  <c r="L37" i="13"/>
  <c r="L36" i="13" s="1"/>
  <c r="G3" i="14"/>
  <c r="F3" i="14"/>
  <c r="B4" i="15"/>
  <c r="C4" i="15" s="1"/>
  <c r="I9" i="14"/>
  <c r="J9" i="14"/>
  <c r="G13" i="14"/>
  <c r="H9" i="14"/>
  <c r="L10" i="14"/>
  <c r="M37" i="13" l="1"/>
  <c r="L18" i="7"/>
  <c r="M18" i="7"/>
  <c r="Q18" i="7" s="1"/>
  <c r="P24" i="13"/>
  <c r="P23" i="13" s="1"/>
  <c r="N24" i="13"/>
  <c r="N23" i="13" s="1"/>
  <c r="N24" i="7"/>
  <c r="N23" i="7" s="1"/>
  <c r="Q37" i="7"/>
  <c r="Q36" i="7" s="1"/>
  <c r="M36" i="7"/>
  <c r="I78" i="6"/>
  <c r="O20" i="7"/>
  <c r="O19" i="7" s="1"/>
  <c r="M78" i="6" s="1"/>
  <c r="L20" i="7"/>
  <c r="L19" i="7" s="1"/>
  <c r="H19" i="7"/>
  <c r="L24" i="13"/>
  <c r="L23" i="13" s="1"/>
  <c r="H23" i="13"/>
  <c r="O24" i="7"/>
  <c r="O23" i="7" s="1"/>
  <c r="L24" i="7"/>
  <c r="L23" i="7" s="1"/>
  <c r="H23" i="7"/>
  <c r="I52" i="6"/>
  <c r="I54" i="6"/>
  <c r="G12" i="13"/>
  <c r="G11" i="7"/>
  <c r="L12" i="7"/>
  <c r="H10" i="6"/>
  <c r="G9" i="6"/>
  <c r="L34" i="7"/>
  <c r="H33" i="7"/>
  <c r="L3" i="14"/>
  <c r="P3" i="14" s="1"/>
  <c r="K3" i="14"/>
  <c r="G23" i="13"/>
  <c r="P24" i="7"/>
  <c r="P23" i="7" s="1"/>
  <c r="O24" i="13"/>
  <c r="O23" i="13" s="1"/>
  <c r="D6" i="15"/>
  <c r="F6" i="15" s="1"/>
  <c r="Q27" i="7"/>
  <c r="Q26" i="7" s="1"/>
  <c r="M26" i="7"/>
  <c r="L14" i="7"/>
  <c r="L14" i="13" s="1"/>
  <c r="H12" i="6"/>
  <c r="Q14" i="7" s="1"/>
  <c r="Q14" i="13" s="1"/>
  <c r="M54" i="6"/>
  <c r="L17" i="13"/>
  <c r="E27" i="6"/>
  <c r="Q17" i="13" s="1"/>
  <c r="L15" i="13"/>
  <c r="E25" i="6"/>
  <c r="Q15" i="13" s="1"/>
  <c r="O9" i="14"/>
  <c r="G9" i="14"/>
  <c r="N9" i="14"/>
  <c r="M9" i="14"/>
  <c r="G79" i="6" l="1"/>
  <c r="M34" i="7"/>
  <c r="L33" i="7"/>
  <c r="H9" i="6"/>
  <c r="Q12" i="7"/>
  <c r="G11" i="13"/>
  <c r="E11" i="7"/>
  <c r="C11" i="7"/>
  <c r="F11" i="7"/>
  <c r="G10" i="7"/>
  <c r="M24" i="7"/>
  <c r="M24" i="13"/>
  <c r="G78" i="6"/>
  <c r="M20" i="7"/>
  <c r="Q37" i="13"/>
  <c r="Q36" i="13" s="1"/>
  <c r="M36" i="13"/>
  <c r="C12" i="15"/>
  <c r="L12" i="13"/>
  <c r="L11" i="7"/>
  <c r="G32" i="13"/>
  <c r="L32" i="7"/>
  <c r="Q32" i="7"/>
  <c r="L13" i="14"/>
  <c r="L11" i="13" l="1"/>
  <c r="L10" i="13" s="1"/>
  <c r="K11" i="7"/>
  <c r="L10" i="7"/>
  <c r="J11" i="7"/>
  <c r="H11" i="7"/>
  <c r="G22" i="7"/>
  <c r="C11" i="13"/>
  <c r="C10" i="13" s="1"/>
  <c r="C10" i="7"/>
  <c r="C8" i="15"/>
  <c r="G10" i="13"/>
  <c r="M33" i="7"/>
  <c r="Q34" i="7"/>
  <c r="Q32" i="13"/>
  <c r="L32" i="13"/>
  <c r="D12" i="15"/>
  <c r="F12" i="15" s="1"/>
  <c r="M19" i="7"/>
  <c r="K78" i="6" s="1"/>
  <c r="Q20" i="7"/>
  <c r="Q19" i="7" s="1"/>
  <c r="Q24" i="13"/>
  <c r="Q23" i="13" s="1"/>
  <c r="M23" i="13"/>
  <c r="M23" i="7"/>
  <c r="Q24" i="7"/>
  <c r="Q23" i="7" s="1"/>
  <c r="D11" i="7"/>
  <c r="F11" i="13"/>
  <c r="F10" i="13" s="1"/>
  <c r="F10" i="7"/>
  <c r="E11" i="13"/>
  <c r="E10" i="13" s="1"/>
  <c r="E10" i="7"/>
  <c r="Q12" i="13"/>
  <c r="Q11" i="7"/>
  <c r="B6" i="14"/>
  <c r="E6" i="14"/>
  <c r="D6" i="14"/>
  <c r="L9" i="14"/>
  <c r="O11" i="7" l="1"/>
  <c r="M11" i="7"/>
  <c r="Q10" i="7"/>
  <c r="Q11" i="13"/>
  <c r="Q10" i="13" s="1"/>
  <c r="P11" i="7"/>
  <c r="D11" i="13"/>
  <c r="D10" i="13" s="1"/>
  <c r="D10" i="7"/>
  <c r="Q33" i="7"/>
  <c r="K79" i="6"/>
  <c r="C7" i="15"/>
  <c r="D8" i="15"/>
  <c r="F8" i="15" s="1"/>
  <c r="J11" i="13"/>
  <c r="J10" i="13" s="1"/>
  <c r="J10" i="7"/>
  <c r="I11" i="7"/>
  <c r="C22" i="7"/>
  <c r="G31" i="7"/>
  <c r="H11" i="13"/>
  <c r="H10" i="13" s="1"/>
  <c r="H10" i="7"/>
  <c r="K11" i="13"/>
  <c r="K10" i="13" s="1"/>
  <c r="K10" i="7"/>
  <c r="G6" i="14"/>
  <c r="C6" i="14"/>
  <c r="J6" i="14"/>
  <c r="I6" i="14"/>
  <c r="N11" i="7" l="1"/>
  <c r="N11" i="13" s="1"/>
  <c r="N10" i="13" s="1"/>
  <c r="M10" i="7"/>
  <c r="M11" i="13"/>
  <c r="M10" i="13" s="1"/>
  <c r="G31" i="13"/>
  <c r="C14" i="15" s="1"/>
  <c r="E31" i="7"/>
  <c r="C31" i="7"/>
  <c r="F31" i="7"/>
  <c r="G39" i="7"/>
  <c r="I11" i="13"/>
  <c r="I10" i="13" s="1"/>
  <c r="I10" i="7"/>
  <c r="D7" i="15"/>
  <c r="F7" i="15" s="1"/>
  <c r="P11" i="13"/>
  <c r="P10" i="13" s="1"/>
  <c r="P10" i="7"/>
  <c r="O11" i="13"/>
  <c r="O10" i="13" s="1"/>
  <c r="O10" i="7"/>
  <c r="N6" i="14"/>
  <c r="H6" i="14"/>
  <c r="O6" i="14"/>
  <c r="L6" i="14"/>
  <c r="M6" i="14"/>
  <c r="N10" i="7" l="1"/>
  <c r="D31" i="7"/>
  <c r="D39" i="7" s="1"/>
  <c r="G40" i="7"/>
  <c r="G46" i="7" s="1"/>
  <c r="D31" i="13"/>
  <c r="E31" i="13"/>
  <c r="E39" i="7"/>
  <c r="F31" i="13"/>
  <c r="F39" i="7"/>
  <c r="C31" i="13"/>
  <c r="C39" i="7"/>
  <c r="D14" i="15"/>
  <c r="F14" i="15" s="1"/>
  <c r="E11" i="14"/>
  <c r="C11" i="14"/>
  <c r="B11" i="14"/>
  <c r="D11" i="14"/>
  <c r="G43" i="7" l="1"/>
  <c r="C40" i="7"/>
  <c r="C80" i="6" l="1"/>
  <c r="D9" i="7"/>
  <c r="C46" i="7"/>
  <c r="C43" i="7"/>
  <c r="D22" i="7" l="1"/>
  <c r="C84" i="6"/>
  <c r="C83" i="6"/>
  <c r="C85" i="6" l="1"/>
  <c r="C86" i="6" s="1"/>
  <c r="D40" i="7"/>
  <c r="D43" i="7" s="1"/>
  <c r="C89" i="6" l="1"/>
  <c r="C90" i="6"/>
  <c r="C94" i="6" s="1"/>
  <c r="D80" i="6" s="1"/>
  <c r="E9" i="7"/>
  <c r="D46" i="7"/>
  <c r="E22" i="7" l="1"/>
  <c r="C35" i="13"/>
  <c r="C93" i="6"/>
  <c r="C88" i="6"/>
  <c r="D84" i="6"/>
  <c r="D83" i="6"/>
  <c r="C92" i="6" l="1"/>
  <c r="C21" i="13"/>
  <c r="C33" i="13"/>
  <c r="E40" i="7"/>
  <c r="D85" i="6"/>
  <c r="D86" i="6" s="1"/>
  <c r="B12" i="14"/>
  <c r="D89" i="6" l="1"/>
  <c r="D90" i="6"/>
  <c r="D94" i="6" s="1"/>
  <c r="E80" i="6" s="1"/>
  <c r="F9" i="7"/>
  <c r="E46" i="7"/>
  <c r="E43" i="7"/>
  <c r="H34" i="13"/>
  <c r="C39" i="13"/>
  <c r="C19" i="13"/>
  <c r="B7" i="14"/>
  <c r="B15" i="14" l="1"/>
  <c r="H20" i="13"/>
  <c r="C22" i="13"/>
  <c r="E84" i="6"/>
  <c r="E83" i="6"/>
  <c r="D35" i="13"/>
  <c r="D93" i="6"/>
  <c r="D88" i="6"/>
  <c r="F22" i="7"/>
  <c r="F40" i="7" l="1"/>
  <c r="F43" i="7" s="1"/>
  <c r="D21" i="13"/>
  <c r="D92" i="6"/>
  <c r="D33" i="13"/>
  <c r="E85" i="6"/>
  <c r="E86" i="6" s="1"/>
  <c r="C40" i="13"/>
  <c r="C43" i="13" s="1"/>
  <c r="C12" i="14"/>
  <c r="E89" i="6" l="1"/>
  <c r="E93" i="6" s="1"/>
  <c r="E90" i="6"/>
  <c r="E94" i="6" s="1"/>
  <c r="F80" i="6" s="1"/>
  <c r="D9" i="13"/>
  <c r="C46" i="13"/>
  <c r="I34" i="13"/>
  <c r="D39" i="13"/>
  <c r="D19" i="13"/>
  <c r="L9" i="7"/>
  <c r="F46" i="7"/>
  <c r="C7" i="14"/>
  <c r="E35" i="13" l="1"/>
  <c r="E33" i="13" s="1"/>
  <c r="E88" i="6"/>
  <c r="E92" i="6" s="1"/>
  <c r="C15" i="14"/>
  <c r="F84" i="6"/>
  <c r="F83" i="6"/>
  <c r="L22" i="7"/>
  <c r="H9" i="7"/>
  <c r="I20" i="13"/>
  <c r="D22" i="13"/>
  <c r="E21" i="13"/>
  <c r="D12" i="14"/>
  <c r="E19" i="13" l="1"/>
  <c r="D40" i="13"/>
  <c r="D43" i="13" s="1"/>
  <c r="L31" i="7"/>
  <c r="J34" i="13"/>
  <c r="E39" i="13"/>
  <c r="H22" i="7"/>
  <c r="F85" i="6"/>
  <c r="F86" i="6" s="1"/>
  <c r="F89" i="6" s="1"/>
  <c r="D7" i="14"/>
  <c r="D15" i="14" l="1"/>
  <c r="F35" i="13"/>
  <c r="F93" i="6"/>
  <c r="F88" i="6"/>
  <c r="F90" i="6"/>
  <c r="F94" i="6" s="1"/>
  <c r="E9" i="13"/>
  <c r="D46" i="13"/>
  <c r="L31" i="13"/>
  <c r="K31" i="7"/>
  <c r="H31" i="7"/>
  <c r="J31" i="7"/>
  <c r="L39" i="7"/>
  <c r="J20" i="13"/>
  <c r="L40" i="7" l="1"/>
  <c r="L46" i="7" s="1"/>
  <c r="H31" i="13"/>
  <c r="H39" i="7"/>
  <c r="J31" i="13"/>
  <c r="J39" i="7"/>
  <c r="I31" i="7"/>
  <c r="E22" i="13"/>
  <c r="F21" i="13"/>
  <c r="F92" i="6"/>
  <c r="F33" i="13"/>
  <c r="G35" i="13"/>
  <c r="G33" i="13" s="1"/>
  <c r="K31" i="13"/>
  <c r="K39" i="7"/>
  <c r="E12" i="14"/>
  <c r="J11" i="14"/>
  <c r="G11" i="14"/>
  <c r="I11" i="14"/>
  <c r="C15" i="15" l="1"/>
  <c r="G39" i="13"/>
  <c r="E40" i="13"/>
  <c r="I31" i="13"/>
  <c r="I39" i="7"/>
  <c r="H40" i="7"/>
  <c r="H43" i="7" s="1"/>
  <c r="L43" i="7"/>
  <c r="K34" i="13"/>
  <c r="F39" i="13"/>
  <c r="F19" i="13"/>
  <c r="G21" i="13"/>
  <c r="G19" i="13" s="1"/>
  <c r="H11" i="14"/>
  <c r="E7" i="14"/>
  <c r="E15" i="14" l="1"/>
  <c r="K20" i="13"/>
  <c r="L34" i="13"/>
  <c r="F9" i="13"/>
  <c r="E46" i="13"/>
  <c r="C10" i="15"/>
  <c r="G22" i="13"/>
  <c r="I9" i="7"/>
  <c r="G80" i="6"/>
  <c r="H46" i="7"/>
  <c r="E43" i="13"/>
  <c r="D15" i="15"/>
  <c r="F15" i="15" s="1"/>
  <c r="C11" i="15"/>
  <c r="D11" i="15" s="1"/>
  <c r="F11" i="15" s="1"/>
  <c r="I22" i="7" l="1"/>
  <c r="G40" i="13"/>
  <c r="G43" i="13" s="1"/>
  <c r="L20" i="13"/>
  <c r="G84" i="6"/>
  <c r="G83" i="6"/>
  <c r="D10" i="15"/>
  <c r="F10" i="15" s="1"/>
  <c r="C5" i="15"/>
  <c r="D5" i="15" s="1"/>
  <c r="F5" i="15" s="1"/>
  <c r="F22" i="13"/>
  <c r="F40" i="13" l="1"/>
  <c r="F43" i="13" s="1"/>
  <c r="C17" i="15"/>
  <c r="D17" i="15" s="1"/>
  <c r="F17" i="15" s="1"/>
  <c r="G46" i="13"/>
  <c r="I40" i="7"/>
  <c r="I43" i="7" s="1"/>
  <c r="G85" i="6"/>
  <c r="G86" i="6" s="1"/>
  <c r="G90" i="6" l="1"/>
  <c r="G94" i="6" s="1"/>
  <c r="H80" i="6" s="1"/>
  <c r="G89" i="6"/>
  <c r="L9" i="13"/>
  <c r="F46" i="13"/>
  <c r="J9" i="7"/>
  <c r="I46" i="7"/>
  <c r="H84" i="6" l="1"/>
  <c r="H83" i="6"/>
  <c r="H35" i="13"/>
  <c r="G93" i="6"/>
  <c r="G88" i="6"/>
  <c r="J22" i="7"/>
  <c r="H9" i="13"/>
  <c r="J40" i="7" l="1"/>
  <c r="J43" i="7" s="1"/>
  <c r="H21" i="13"/>
  <c r="G92" i="6"/>
  <c r="H85" i="6" s="1"/>
  <c r="H86" i="6" s="1"/>
  <c r="H89" i="6" s="1"/>
  <c r="H33" i="13"/>
  <c r="G12" i="14"/>
  <c r="I35" i="13" l="1"/>
  <c r="H93" i="6"/>
  <c r="H88" i="6"/>
  <c r="H90" i="6"/>
  <c r="H94" i="6" s="1"/>
  <c r="I80" i="6" s="1"/>
  <c r="M34" i="13"/>
  <c r="H39" i="13"/>
  <c r="H19" i="13"/>
  <c r="K9" i="7"/>
  <c r="J46" i="7"/>
  <c r="G7" i="14"/>
  <c r="G15" i="14" l="1"/>
  <c r="I84" i="6"/>
  <c r="I83" i="6"/>
  <c r="M20" i="13"/>
  <c r="H22" i="13"/>
  <c r="K22" i="7"/>
  <c r="I21" i="13"/>
  <c r="H92" i="6"/>
  <c r="I33" i="13"/>
  <c r="H12" i="14"/>
  <c r="K40" i="7" l="1"/>
  <c r="K43" i="7" s="1"/>
  <c r="N34" i="13"/>
  <c r="I39" i="13"/>
  <c r="I19" i="13"/>
  <c r="H40" i="13"/>
  <c r="I85" i="6"/>
  <c r="I86" i="6" s="1"/>
  <c r="H7" i="14"/>
  <c r="H15" i="14" l="1"/>
  <c r="I90" i="6"/>
  <c r="I94" i="6" s="1"/>
  <c r="I89" i="6"/>
  <c r="I9" i="13"/>
  <c r="H46" i="13"/>
  <c r="H43" i="13"/>
  <c r="Q9" i="7"/>
  <c r="J80" i="6"/>
  <c r="K46" i="7"/>
  <c r="N20" i="13"/>
  <c r="M9" i="7" l="1"/>
  <c r="Q22" i="7"/>
  <c r="J84" i="6"/>
  <c r="J83" i="6"/>
  <c r="I22" i="13"/>
  <c r="J35" i="13"/>
  <c r="I93" i="6"/>
  <c r="I88" i="6"/>
  <c r="J33" i="13" l="1"/>
  <c r="I40" i="13"/>
  <c r="I43" i="13" s="1"/>
  <c r="M22" i="7"/>
  <c r="J21" i="13"/>
  <c r="I92" i="6"/>
  <c r="J85" i="6" s="1"/>
  <c r="J86" i="6" s="1"/>
  <c r="Q31" i="7"/>
  <c r="I12" i="14"/>
  <c r="J90" i="6" l="1"/>
  <c r="J94" i="6" s="1"/>
  <c r="J89" i="6"/>
  <c r="Q31" i="13"/>
  <c r="O31" i="7"/>
  <c r="M31" i="7"/>
  <c r="P31" i="7"/>
  <c r="Q39" i="7"/>
  <c r="J19" i="13"/>
  <c r="J9" i="13"/>
  <c r="I46" i="13"/>
  <c r="O34" i="13"/>
  <c r="J39" i="13"/>
  <c r="I7" i="14"/>
  <c r="N31" i="7" l="1"/>
  <c r="N39" i="7" s="1"/>
  <c r="I15" i="14"/>
  <c r="J22" i="13"/>
  <c r="O20" i="13"/>
  <c r="Q40" i="7"/>
  <c r="Q46" i="7" s="1"/>
  <c r="P31" i="13"/>
  <c r="P39" i="7"/>
  <c r="O31" i="13"/>
  <c r="O39" i="7"/>
  <c r="K35" i="13"/>
  <c r="J93" i="6"/>
  <c r="J88" i="6"/>
  <c r="N31" i="13"/>
  <c r="M31" i="13"/>
  <c r="M39" i="7"/>
  <c r="M11" i="14"/>
  <c r="N11" i="14"/>
  <c r="L11" i="14"/>
  <c r="O11" i="14"/>
  <c r="Q43" i="7" l="1"/>
  <c r="M40" i="7"/>
  <c r="M43" i="7" s="1"/>
  <c r="J92" i="6"/>
  <c r="K21" i="13"/>
  <c r="K33" i="13"/>
  <c r="L35" i="13"/>
  <c r="L33" i="13" s="1"/>
  <c r="L39" i="13" s="1"/>
  <c r="J40" i="13"/>
  <c r="J12" i="14"/>
  <c r="K19" i="13" l="1"/>
  <c r="L21" i="13"/>
  <c r="L19" i="13" s="1"/>
  <c r="K9" i="13"/>
  <c r="J46" i="13"/>
  <c r="J43" i="13"/>
  <c r="P34" i="13"/>
  <c r="K39" i="13"/>
  <c r="K80" i="6"/>
  <c r="N9" i="7"/>
  <c r="M46" i="7"/>
  <c r="J7" i="14"/>
  <c r="J15" i="14" l="1"/>
  <c r="K84" i="6"/>
  <c r="K83" i="6"/>
  <c r="Q34" i="13"/>
  <c r="L22" i="13"/>
  <c r="N22" i="7"/>
  <c r="K22" i="13"/>
  <c r="P20" i="13"/>
  <c r="K40" i="13" l="1"/>
  <c r="K43" i="13" s="1"/>
  <c r="N40" i="7"/>
  <c r="N43" i="7" s="1"/>
  <c r="L40" i="13"/>
  <c r="L46" i="13" s="1"/>
  <c r="Q20" i="13"/>
  <c r="K85" i="6"/>
  <c r="K86" i="6" s="1"/>
  <c r="L43" i="13" l="1"/>
  <c r="K89" i="6"/>
  <c r="K90" i="6"/>
  <c r="K94" i="6" s="1"/>
  <c r="L80" i="6" s="1"/>
  <c r="O9" i="7"/>
  <c r="N46" i="7"/>
  <c r="Q9" i="13"/>
  <c r="K46" i="13"/>
  <c r="O22" i="7" l="1"/>
  <c r="M9" i="13"/>
  <c r="L84" i="6"/>
  <c r="L83" i="6"/>
  <c r="M35" i="13"/>
  <c r="K93" i="6"/>
  <c r="K88" i="6"/>
  <c r="M33" i="13" l="1"/>
  <c r="M21" i="13"/>
  <c r="K92" i="6"/>
  <c r="L85" i="6" s="1"/>
  <c r="L86" i="6" s="1"/>
  <c r="O40" i="7"/>
  <c r="O43" i="7" s="1"/>
  <c r="L12" i="14"/>
  <c r="L89" i="6" l="1"/>
  <c r="L90" i="6"/>
  <c r="L94" i="6" s="1"/>
  <c r="M80" i="6" s="1"/>
  <c r="M19" i="13"/>
  <c r="M39" i="13"/>
  <c r="P9" i="7"/>
  <c r="O46" i="7"/>
  <c r="L7" i="14"/>
  <c r="L15" i="14" l="1"/>
  <c r="M84" i="6"/>
  <c r="M83" i="6"/>
  <c r="M22" i="13"/>
  <c r="P22" i="7"/>
  <c r="N35" i="13"/>
  <c r="L93" i="6"/>
  <c r="L88" i="6"/>
  <c r="N33" i="13" l="1"/>
  <c r="P40" i="7"/>
  <c r="P43" i="7" s="1"/>
  <c r="M40" i="13"/>
  <c r="M43" i="13" s="1"/>
  <c r="N21" i="13"/>
  <c r="L92" i="6"/>
  <c r="M85" i="6" s="1"/>
  <c r="M86" i="6" s="1"/>
  <c r="M12" i="14"/>
  <c r="M89" i="6" l="1"/>
  <c r="M90" i="6"/>
  <c r="M94" i="6" s="1"/>
  <c r="N19" i="13"/>
  <c r="N9" i="13"/>
  <c r="M46" i="13"/>
  <c r="N80" i="6"/>
  <c r="P46" i="7"/>
  <c r="N39" i="13"/>
  <c r="M7" i="14"/>
  <c r="M15" i="14" l="1"/>
  <c r="N84" i="6"/>
  <c r="N83" i="6"/>
  <c r="N22" i="13"/>
  <c r="O35" i="13"/>
  <c r="M93" i="6"/>
  <c r="M88" i="6"/>
  <c r="O33" i="13" l="1"/>
  <c r="N40" i="13"/>
  <c r="N43" i="13" s="1"/>
  <c r="M92" i="6"/>
  <c r="N85" i="6" s="1"/>
  <c r="N86" i="6" s="1"/>
  <c r="O21" i="13"/>
  <c r="N12" i="14"/>
  <c r="N89" i="6" l="1"/>
  <c r="N90" i="6"/>
  <c r="N94" i="6" s="1"/>
  <c r="O19" i="13"/>
  <c r="O9" i="13"/>
  <c r="N46" i="13"/>
  <c r="O39" i="13"/>
  <c r="N7" i="14"/>
  <c r="N15" i="14" l="1"/>
  <c r="O22" i="13"/>
  <c r="P35" i="13"/>
  <c r="N93" i="6"/>
  <c r="N88" i="6"/>
  <c r="P21" i="13" l="1"/>
  <c r="N92" i="6"/>
  <c r="P33" i="13"/>
  <c r="Q35" i="13"/>
  <c r="Q33" i="13" s="1"/>
  <c r="Q39" i="13" s="1"/>
  <c r="O40" i="13"/>
  <c r="O43" i="13" s="1"/>
  <c r="O12" i="14"/>
  <c r="P9" i="13" l="1"/>
  <c r="O46" i="13"/>
  <c r="P39" i="13"/>
  <c r="P19" i="13"/>
  <c r="Q21" i="13"/>
  <c r="Q19" i="13" s="1"/>
  <c r="O7" i="14"/>
  <c r="O15" i="14" l="1"/>
  <c r="Q22" i="13"/>
  <c r="P22" i="13"/>
  <c r="Q40" i="13" l="1"/>
  <c r="Q46" i="13" s="1"/>
  <c r="P40" i="13"/>
  <c r="P46" i="13" s="1"/>
  <c r="P43" i="13" l="1"/>
  <c r="Q43" i="13"/>
</calcChain>
</file>

<file path=xl/sharedStrings.xml><?xml version="1.0" encoding="utf-8"?>
<sst xmlns="http://schemas.openxmlformats.org/spreadsheetml/2006/main" count="387" uniqueCount="154">
  <si>
    <t>1 кв.</t>
  </si>
  <si>
    <t>2 кв.</t>
  </si>
  <si>
    <t>3 кв.</t>
  </si>
  <si>
    <t>4 кв.</t>
  </si>
  <si>
    <t>Запасы на начало периода</t>
  </si>
  <si>
    <t>Потери</t>
  </si>
  <si>
    <t>Личное потребление</t>
  </si>
  <si>
    <t>Производство</t>
  </si>
  <si>
    <t>Запасы на конец периода</t>
  </si>
  <si>
    <t>Формула</t>
  </si>
  <si>
    <t>Легенда</t>
  </si>
  <si>
    <t>Значение в данной ячейке должно быть ОБЯЗАТЕЛЬНО заполнено</t>
  </si>
  <si>
    <t>Значение в данной ячейке рассчитывается автоматически и не редактируется</t>
  </si>
  <si>
    <t>Наименование показателя</t>
  </si>
  <si>
    <t>Значение в данной ячейке заполняется автоматически, можно корректировать</t>
  </si>
  <si>
    <t>Показатель баланса</t>
  </si>
  <si>
    <t>Объем ввоза, включая импорт</t>
  </si>
  <si>
    <t>Итого ресурсов в соответствующем году</t>
  </si>
  <si>
    <t>Объем вывоз, включая экспорт</t>
  </si>
  <si>
    <t>Наименование</t>
  </si>
  <si>
    <t>Обозначение</t>
  </si>
  <si>
    <t>1. Прогнозные значения до корректировки</t>
  </si>
  <si>
    <t>1.1. Ввоз</t>
  </si>
  <si>
    <t>1.2. Вывоз</t>
  </si>
  <si>
    <t>1.3. Запасы на конец периода</t>
  </si>
  <si>
    <t>2. Минимальный остаток за 7 предыдущих лет</t>
  </si>
  <si>
    <t>3. Корректировки</t>
  </si>
  <si>
    <t>3.1. Необходимая корректировка остатка запасов на конец периода для приведения к уровню не ниже минимального в текущем квартале</t>
  </si>
  <si>
    <t>4. Прогнозные значения с учетом корректировки</t>
  </si>
  <si>
    <t>4.1. Ввоз</t>
  </si>
  <si>
    <t>4.2. Вывоз</t>
  </si>
  <si>
    <t>4.3. Запасы на конец периода</t>
  </si>
  <si>
    <t>5. Сумма корректировки нарастающим итогом (влияет на остаток в последующих периодах)</t>
  </si>
  <si>
    <t>5.1. Корректировка ввоза</t>
  </si>
  <si>
    <t>5.2. Корректировка вывоза</t>
  </si>
  <si>
    <t>5.3. Корректировка запасов на конец периода</t>
  </si>
  <si>
    <t>Ед. измерения</t>
  </si>
  <si>
    <t>1. Итого ресурсов</t>
  </si>
  <si>
    <t>1.1 Запасы на начало периода</t>
  </si>
  <si>
    <t>1.3 Ввоз, включая импорт</t>
  </si>
  <si>
    <t>Объем ввоза в предыдущем году</t>
  </si>
  <si>
    <t>Изменение ввоза относительно предыдущего года</t>
  </si>
  <si>
    <t>2. Итого использование</t>
  </si>
  <si>
    <t>Увеличение объема переработки вследствие ввода новых мощностей в соответствующем регионе</t>
  </si>
  <si>
    <t>Снижение объема переработки вследствие вывода существующих мощностей</t>
  </si>
  <si>
    <t>Изменение переработки вследствие изменения загрузки существующих мощностей</t>
  </si>
  <si>
    <t xml:space="preserve">Уровень потерь </t>
  </si>
  <si>
    <t>Объем вывоза, включая экспорт в предыдущем году</t>
  </si>
  <si>
    <t xml:space="preserve">Изменение вывоза относительно предыдущего года </t>
  </si>
  <si>
    <t>Личное потребление в предыдущем году</t>
  </si>
  <si>
    <t>Изменение личного потребления относительного предыдущего года</t>
  </si>
  <si>
    <t>3. Запасы на конец периода</t>
  </si>
  <si>
    <t>Проверка на Итоги</t>
  </si>
  <si>
    <t>Обязательно к заполнению</t>
  </si>
  <si>
    <t>Возможна корректировка</t>
  </si>
  <si>
    <t>(Таблица содержит фактические значения балансов за 3 предыдущих года с поквартальной разбивкой. Необходима для детализации годовых прогнозных показателей на квартальные)</t>
  </si>
  <si>
    <t>Строки/Колонки</t>
  </si>
  <si>
    <t>Тип ячейки</t>
  </si>
  <si>
    <t>Контрольная сумма</t>
  </si>
  <si>
    <t>Итого использовано</t>
  </si>
  <si>
    <t>Вывоз, включая экспорт</t>
  </si>
  <si>
    <t>Итого ресурсов</t>
  </si>
  <si>
    <t>Ввоз, включая импорт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</si>
  <si>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</si>
  <si>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</si>
  <si>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</si>
  <si>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</si>
  <si>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</si>
  <si>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</si>
  <si>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</si>
  <si>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</si>
  <si>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</si>
  <si>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</si>
  <si>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</si>
  <si>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</si>
  <si>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</si>
  <si>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</si>
  <si>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</si>
  <si>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Проверка на Контрольную сумму</t>
  </si>
  <si>
    <t>3.2. Сумма, на которую возможно уменьшить запасы на конец периода при сторнировании</t>
  </si>
  <si>
    <t>3.2.1. Сторно ввоза</t>
  </si>
  <si>
    <t>3.2.2. Сторно вывоза</t>
  </si>
  <si>
    <t>Переработка на непищевые цели</t>
  </si>
  <si>
    <t>Планируемое поголовье коров СХО</t>
  </si>
  <si>
    <t>Планируемое поголовье коров  КФХ</t>
  </si>
  <si>
    <t>Планируемое поголовье коров  ЛПХ</t>
  </si>
  <si>
    <t>Прогнозируемый надой молока СХО</t>
  </si>
  <si>
    <t>Прогнозируемый надой молока КФХ</t>
  </si>
  <si>
    <t>Прогнозируемый надой молока ЛПХ</t>
  </si>
  <si>
    <t>Поголовье коров СХО</t>
  </si>
  <si>
    <t>Поголовье коров КФХ</t>
  </si>
  <si>
    <t>Поголовье коров ЛПХ</t>
  </si>
  <si>
    <t>Надой молока по СХО</t>
  </si>
  <si>
    <t>Надой молока по КФХ</t>
  </si>
  <si>
    <t>Надой молока по ЛПХ</t>
  </si>
  <si>
    <t>Объем переработки на непищевые цели в предыдущем году</t>
  </si>
  <si>
    <t>Объем производственного потребления в предыдущем году</t>
  </si>
  <si>
    <t>Изменение потребления относительно предыдущего года</t>
  </si>
  <si>
    <t>2.2 Переработка на непищевые цели</t>
  </si>
  <si>
    <t>2.3 Потери</t>
  </si>
  <si>
    <t>2.4 Вывоз, включая экспорт</t>
  </si>
  <si>
    <t>2.5 Личное потребление</t>
  </si>
  <si>
    <t>Производственное потребление</t>
  </si>
  <si>
    <t>2.1 Произведcтвенное потребление</t>
  </si>
  <si>
    <t>Поголовье коров</t>
  </si>
  <si>
    <t>Произведено молока</t>
  </si>
  <si>
    <t>тыс. голов</t>
  </si>
  <si>
    <t>Таблица 2 - Данные по производству молока</t>
  </si>
  <si>
    <t>Таблица 4 - Данные по инвестиционным проектам</t>
  </si>
  <si>
    <t>Таблица 5 - Статистическая база для разработки прогноза квартальных показателей</t>
  </si>
  <si>
    <t>Таблица 6 - Данные для корректировки прогноза согласно уровня исторического минимума</t>
  </si>
  <si>
    <t>Таблица 8 - Расчет корректировки согласно минимума исторического запаса (результат корректировки будет учтен на следующем шаге расчета)</t>
  </si>
  <si>
    <t>Таблица 3 - Расчет надоя молока</t>
  </si>
  <si>
    <t>Таблица 7 - Распределение годовых значений по кварталам</t>
  </si>
  <si>
    <t>Таблица 1 - Данные по поголовью скота в хозяйствах всех категорий</t>
  </si>
  <si>
    <t>Производство молока в  СХО</t>
  </si>
  <si>
    <t>Производство молока в КФХ</t>
  </si>
  <si>
    <t>Производство молока в ЛПХ</t>
  </si>
  <si>
    <t>тыс. т</t>
  </si>
  <si>
    <t>1.2.1 Производство молока КРС</t>
  </si>
  <si>
    <t>1.2.2 Производство молоко других видов животных</t>
  </si>
  <si>
    <t xml:space="preserve">1.2 Производство </t>
  </si>
  <si>
    <t>Проверка на наличие данных в Балансе: если значение больше "0", значит проверка пройдена</t>
  </si>
  <si>
    <t>уд. вес</t>
  </si>
  <si>
    <t>Значение не заполняется</t>
  </si>
  <si>
    <t>Переработка на непищевая цели</t>
  </si>
  <si>
    <t>Производство молока КРС</t>
  </si>
  <si>
    <t>Производство молоко других видов животных</t>
  </si>
  <si>
    <r>
      <t xml:space="preserve">(Таблица содержит фактические значения за 3 предыдущих года и плановые - на 3 прогнозных года, необходима для расчета прогнозных значений по статье </t>
    </r>
    <r>
      <rPr>
        <i/>
        <sz val="10"/>
        <color rgb="FFFF0000"/>
        <rFont val="Times New Roman"/>
        <family val="1"/>
        <charset val="204"/>
      </rPr>
      <t>"1.2 Производство"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</si>
  <si>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t>Проверка</t>
  </si>
  <si>
    <t>Контрольная сумма: если значение не равно "0", значит необходимо скорректировать данные баланса Таблицы 5 и запасов Таблицы 6</t>
  </si>
  <si>
    <t xml:space="preserve">(Таблица заполняется на основании модуля инвестиционных проектов региона на 3 прогнозных года с поквартальной разбивкой, необходима для расчета </t>
  </si>
  <si>
    <r>
      <t xml:space="preserve">прогнозных значений по статьям </t>
    </r>
    <r>
      <rPr>
        <i/>
        <sz val="10"/>
        <color rgb="FFFF0000"/>
        <rFont val="Times New Roman"/>
        <family val="1"/>
        <charset val="204"/>
      </rPr>
      <t>"2.2 Переработка"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</si>
  <si>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t>Молоко</t>
  </si>
  <si>
    <t>Переработка на непищевые цели (п.2.2 Баланса)</t>
  </si>
  <si>
    <t>2.1 Производственное потребление</t>
  </si>
  <si>
    <t>Проверка на наличие данных в Запасах: если значение больше "0", значит проверка пройдена</t>
  </si>
  <si>
    <t>(В таблице рассчитываются коэффициенты для распределения годовых прогнозных значений на квартальные, на основании данных таблицы 2)</t>
  </si>
  <si>
    <t>запасов для авто корректировки на листе "3.Прогноз.С_корректировкой таб8")</t>
  </si>
  <si>
    <t xml:space="preserve">(Таблица содержит фактические значения балансов за 7 предыдущих лет с поквартальной разбивкой. Необходима для расчета минимального значения </t>
  </si>
  <si>
    <t xml:space="preserve">(В таблице выполняется расчет значений для корректировок, согласно уровня исторического минимума запасов на конец периода, а также компенсаций </t>
  </si>
  <si>
    <t>произведенных корректировок в последующих кварталах прогнозного года)</t>
  </si>
  <si>
    <t>(Таблица содержит расчет средний надой за 3 предыдущих года)</t>
  </si>
  <si>
    <t>кг/голову</t>
  </si>
  <si>
    <t>Комментарий по отклонению прогнозного баланса</t>
  </si>
  <si>
    <t>Показатель  баланса</t>
  </si>
  <si>
    <t>Отклонения (Прирост), %</t>
  </si>
  <si>
    <t>Комментарий</t>
  </si>
  <si>
    <t>1.2 Производство</t>
  </si>
  <si>
    <t xml:space="preserve">   1.2.1 Производство молока КРС</t>
  </si>
  <si>
    <t xml:space="preserve">   1.2.2 Производство молоко других видов животных</t>
  </si>
  <si>
    <t>000156297</t>
  </si>
  <si>
    <t>увеличение производственного потребления</t>
  </si>
  <si>
    <t>увеличение поголовья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</si>
</sst>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_-* #,##0.00,_₽_-;\-* #,##0.00,_₽_-;_-* \-??\ _₽_-;_-@_-"/>
    <numFmt numFmtId="166" formatCode="0&quot; кв.&quot;"/>
    <numFmt numFmtId="167" formatCode="#,##0.000"/>
    <numFmt numFmtId="168" formatCode="#,##0_ ;[Red]\-#,##0\ "/>
    <numFmt numFmtId="169" formatCode="[=0]&quot;&quot;;General"/>
    <numFmt numFmtId="170" formatCode="#,##0.000_ ;\-#,##0.000\ "/>
  </numFmts>
  <fonts count="40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204"/>
    </font>
    <font>
      <sz val="11"/>
      <color indexed="55"/>
      <name val="Times New Roman"/>
      <family val="1"/>
      <charset val="204"/>
    </font>
    <font>
      <b/>
      <sz val="11"/>
      <color indexed="55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indexed="45"/>
      <name val="Calibri"/>
      <family val="2"/>
      <charset val="1"/>
    </font>
    <font>
      <i/>
      <sz val="10"/>
      <name val="Times New Roman"/>
      <family val="1"/>
      <charset val="204"/>
    </font>
    <font>
      <i/>
      <sz val="11"/>
      <color indexed="55"/>
      <name val="Calibri"/>
      <family val="2"/>
      <charset val="1"/>
    </font>
    <font>
      <b/>
      <sz val="11"/>
      <color indexed="55"/>
      <name val="Calibri"/>
      <family val="2"/>
      <charset val="1"/>
    </font>
    <font>
      <b/>
      <sz val="11"/>
      <color indexed="55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45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sz val="11"/>
      <color indexed="33"/>
      <name val="Calibri"/>
      <family val="2"/>
      <charset val="1"/>
    </font>
    <font>
      <b/>
      <sz val="11"/>
      <color indexed="45"/>
      <name val="Calibri"/>
      <family val="2"/>
      <charset val="204"/>
    </font>
    <font>
      <sz val="8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i/>
      <sz val="10"/>
      <color theme="9" tint="-0.249977111117893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3"/>
        <bgColor indexed="64"/>
      </patternFill>
    </fill>
    <fill>
      <patternFill patternType="solid">
        <fgColor indexed="33"/>
        <bgColor indexed="18"/>
      </patternFill>
    </fill>
    <fill>
      <patternFill patternType="lightUp">
        <fgColor indexed="55"/>
        <bgColor indexed="1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F2DCDB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8"/>
      </patternFill>
    </fill>
    <fill>
      <patternFill patternType="lightUp">
        <fgColor theme="1"/>
        <bgColor rgb="FFBFBFC0"/>
      </patternFill>
    </fill>
    <fill>
      <patternFill patternType="solid">
        <fgColor theme="4" tint="0.59999389629810485"/>
        <bgColor rgb="FFDFDFE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EBF1DE"/>
      </patternFill>
    </fill>
    <fill>
      <patternFill patternType="solid">
        <fgColor theme="0"/>
        <bgColor rgb="FFDFDFE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rgb="FFFFFFCC"/>
        <bgColor indexed="64"/>
      </patternFill>
    </fill>
    <fill>
      <patternFill patternType="solid">
        <fgColor rgb="FFB9CDE5"/>
        <bgColor indexed="55"/>
      </patternFill>
    </fill>
  </fills>
  <borders count="6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4" fillId="0" borderId="0"/>
    <xf numFmtId="165" fontId="19" fillId="0" borderId="0" applyBorder="0" applyProtection="0"/>
    <xf numFmtId="165" fontId="19" fillId="0" borderId="0" applyBorder="0" applyProtection="0"/>
    <xf numFmtId="0" fontId="14" fillId="0" borderId="0"/>
  </cellStyleXfs>
  <cellXfs count="489">
    <xf numFmtId="0" fontId="0" fillId="0" borderId="0" xfId="0"/>
    <xf numFmtId="0" fontId="2" fillId="0" borderId="0" xfId="0" applyFont="1" applyBorder="1"/>
    <xf numFmtId="167" fontId="0" fillId="0" borderId="0" xfId="0" applyNumberFormat="1"/>
    <xf numFmtId="0" fontId="0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167" fontId="2" fillId="0" borderId="0" xfId="0" applyNumberFormat="1" applyFont="1"/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Fill="1"/>
    <xf numFmtId="0" fontId="8" fillId="0" borderId="0" xfId="0" applyFont="1"/>
    <xf numFmtId="0" fontId="9" fillId="0" borderId="0" xfId="0" applyFont="1"/>
    <xf numFmtId="0" fontId="11" fillId="0" borderId="1" xfId="0" applyFont="1" applyFill="1" applyBorder="1" applyAlignment="1">
      <alignment horizontal="right"/>
    </xf>
    <xf numFmtId="0" fontId="10" fillId="0" borderId="0" xfId="0" applyFont="1" applyBorder="1" applyAlignment="1"/>
    <xf numFmtId="0" fontId="10" fillId="0" borderId="2" xfId="0" applyFont="1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vertical="center"/>
    </xf>
    <xf numFmtId="0" fontId="2" fillId="0" borderId="0" xfId="0" applyFont="1" applyBorder="1" applyAlignment="1"/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0" fontId="2" fillId="0" borderId="0" xfId="0" applyFont="1" applyFill="1" applyBorder="1" applyAlignment="1">
      <alignment horizontal="left" indent="2"/>
    </xf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/>
    <xf numFmtId="3" fontId="2" fillId="0" borderId="0" xfId="0" applyNumberFormat="1" applyFont="1" applyFill="1" applyBorder="1"/>
    <xf numFmtId="0" fontId="2" fillId="0" borderId="0" xfId="0" applyFont="1" applyFill="1"/>
    <xf numFmtId="167" fontId="2" fillId="0" borderId="0" xfId="0" applyNumberFormat="1" applyFont="1" applyFill="1" applyBorder="1"/>
    <xf numFmtId="167" fontId="3" fillId="0" borderId="0" xfId="0" applyNumberFormat="1" applyFont="1" applyFill="1" applyBorder="1"/>
    <xf numFmtId="164" fontId="5" fillId="0" borderId="4" xfId="0" applyNumberFormat="1" applyFont="1" applyBorder="1" applyAlignment="1">
      <alignment horizontal="right"/>
    </xf>
    <xf numFmtId="0" fontId="16" fillId="0" borderId="0" xfId="0" applyFont="1" applyProtection="1"/>
    <xf numFmtId="167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8" fontId="11" fillId="2" borderId="4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3" fontId="20" fillId="6" borderId="4" xfId="0" applyNumberFormat="1" applyFont="1" applyFill="1" applyBorder="1"/>
    <xf numFmtId="164" fontId="3" fillId="0" borderId="8" xfId="0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164" fontId="3" fillId="0" borderId="20" xfId="0" applyNumberFormat="1" applyFont="1" applyBorder="1" applyAlignment="1">
      <alignment horizontal="right"/>
    </xf>
    <xf numFmtId="164" fontId="3" fillId="0" borderId="21" xfId="0" applyNumberFormat="1" applyFont="1" applyBorder="1" applyAlignment="1">
      <alignment horizontal="right"/>
    </xf>
    <xf numFmtId="164" fontId="3" fillId="0" borderId="22" xfId="0" applyNumberFormat="1" applyFont="1" applyBorder="1" applyAlignment="1">
      <alignment horizontal="right"/>
    </xf>
    <xf numFmtId="164" fontId="3" fillId="0" borderId="14" xfId="0" applyNumberFormat="1" applyFont="1" applyBorder="1" applyAlignment="1">
      <alignment horizontal="right"/>
    </xf>
    <xf numFmtId="10" fontId="3" fillId="0" borderId="10" xfId="0" applyNumberFormat="1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right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7" fontId="0" fillId="0" borderId="0" xfId="0" applyNumberFormat="1" applyBorder="1"/>
    <xf numFmtId="0" fontId="0" fillId="0" borderId="29" xfId="0" applyBorder="1"/>
    <xf numFmtId="0" fontId="0" fillId="0" borderId="29" xfId="0" applyBorder="1" applyAlignment="1">
      <alignment horizontal="center"/>
    </xf>
    <xf numFmtId="0" fontId="2" fillId="8" borderId="0" xfId="0" applyFont="1" applyFill="1"/>
    <xf numFmtId="0" fontId="0" fillId="8" borderId="0" xfId="0" applyFill="1"/>
    <xf numFmtId="167" fontId="2" fillId="8" borderId="0" xfId="0" applyNumberFormat="1" applyFont="1" applyFill="1"/>
    <xf numFmtId="167" fontId="3" fillId="7" borderId="24" xfId="0" applyNumberFormat="1" applyFont="1" applyFill="1" applyBorder="1" applyAlignment="1">
      <alignment horizontal="right"/>
    </xf>
    <xf numFmtId="167" fontId="3" fillId="8" borderId="24" xfId="0" applyNumberFormat="1" applyFont="1" applyFill="1" applyBorder="1" applyAlignment="1">
      <alignment horizontal="right"/>
    </xf>
    <xf numFmtId="0" fontId="2" fillId="0" borderId="19" xfId="0" applyFont="1" applyBorder="1" applyAlignment="1">
      <alignment horizontal="center" vertical="center"/>
    </xf>
    <xf numFmtId="0" fontId="0" fillId="0" borderId="0" xfId="0" applyNumberFormat="1"/>
    <xf numFmtId="0" fontId="15" fillId="0" borderId="0" xfId="0" applyNumberFormat="1" applyFont="1" applyBorder="1" applyAlignment="1">
      <alignment vertical="center" wrapText="1"/>
    </xf>
    <xf numFmtId="164" fontId="5" fillId="0" borderId="6" xfId="0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/>
    </xf>
    <xf numFmtId="169" fontId="12" fillId="0" borderId="8" xfId="0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 wrapText="1"/>
    </xf>
    <xf numFmtId="169" fontId="12" fillId="0" borderId="8" xfId="0" applyNumberFormat="1" applyFont="1" applyBorder="1" applyAlignment="1">
      <alignment horizontal="right" wrapText="1"/>
    </xf>
    <xf numFmtId="0" fontId="20" fillId="0" borderId="0" xfId="0" applyFont="1"/>
    <xf numFmtId="167" fontId="20" fillId="11" borderId="18" xfId="0" applyNumberFormat="1" applyFont="1" applyFill="1" applyBorder="1" applyAlignment="1" applyProtection="1">
      <alignment horizontal="right"/>
      <protection locked="0"/>
    </xf>
    <xf numFmtId="167" fontId="20" fillId="12" borderId="15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Border="1" applyAlignment="1">
      <alignment vertical="center" wrapText="1"/>
    </xf>
    <xf numFmtId="165" fontId="17" fillId="0" borderId="0" xfId="3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0" fontId="20" fillId="0" borderId="0" xfId="0" applyFont="1" applyAlignment="1">
      <alignment horizontal="center"/>
    </xf>
    <xf numFmtId="167" fontId="20" fillId="13" borderId="2" xfId="0" applyNumberFormat="1" applyFont="1" applyFill="1" applyBorder="1" applyAlignment="1" applyProtection="1">
      <alignment horizontal="right"/>
      <protection hidden="1"/>
    </xf>
    <xf numFmtId="0" fontId="20" fillId="0" borderId="2" xfId="0" applyFont="1" applyBorder="1" applyAlignment="1">
      <alignment horizontal="center"/>
    </xf>
    <xf numFmtId="167" fontId="20" fillId="13" borderId="0" xfId="0" applyNumberFormat="1" applyFont="1" applyFill="1" applyBorder="1" applyAlignment="1" applyProtection="1">
      <alignment horizontal="right"/>
      <protection hidden="1"/>
    </xf>
    <xf numFmtId="0" fontId="20" fillId="0" borderId="0" xfId="0" applyFont="1" applyBorder="1" applyAlignment="1">
      <alignment horizontal="left" indent="2"/>
    </xf>
    <xf numFmtId="0" fontId="2" fillId="0" borderId="1" xfId="0" applyFont="1" applyFill="1" applyBorder="1" applyAlignment="1">
      <alignment horizontal="right"/>
    </xf>
    <xf numFmtId="167" fontId="20" fillId="11" borderId="32" xfId="0" applyNumberFormat="1" applyFont="1" applyFill="1" applyBorder="1" applyAlignment="1" applyProtection="1">
      <alignment horizontal="right"/>
      <protection locked="0"/>
    </xf>
    <xf numFmtId="167" fontId="20" fillId="11" borderId="35" xfId="0" applyNumberFormat="1" applyFont="1" applyFill="1" applyBorder="1" applyAlignment="1" applyProtection="1">
      <alignment horizontal="right"/>
      <protection locked="0"/>
    </xf>
    <xf numFmtId="167" fontId="20" fillId="11" borderId="19" xfId="0" applyNumberFormat="1" applyFont="1" applyFill="1" applyBorder="1" applyAlignment="1" applyProtection="1">
      <alignment horizontal="right"/>
      <protection locked="0"/>
    </xf>
    <xf numFmtId="167" fontId="20" fillId="11" borderId="4" xfId="0" applyNumberFormat="1" applyFont="1" applyFill="1" applyBorder="1" applyAlignment="1" applyProtection="1">
      <alignment horizontal="right"/>
      <protection locked="0"/>
    </xf>
    <xf numFmtId="0" fontId="20" fillId="0" borderId="0" xfId="0" applyFont="1" applyBorder="1" applyAlignment="1">
      <alignment horizontal="left"/>
    </xf>
    <xf numFmtId="0" fontId="2" fillId="8" borderId="0" xfId="0" applyFont="1" applyFill="1" applyBorder="1" applyAlignment="1">
      <alignment horizontal="center"/>
    </xf>
    <xf numFmtId="164" fontId="20" fillId="0" borderId="0" xfId="0" applyNumberFormat="1" applyFont="1" applyBorder="1" applyAlignment="1">
      <alignment horizontal="center"/>
    </xf>
    <xf numFmtId="0" fontId="2" fillId="8" borderId="0" xfId="0" applyFont="1" applyFill="1" applyBorder="1"/>
    <xf numFmtId="0" fontId="24" fillId="0" borderId="0" xfId="0" applyFont="1"/>
    <xf numFmtId="0" fontId="1" fillId="0" borderId="0" xfId="0" applyFont="1"/>
    <xf numFmtId="167" fontId="20" fillId="12" borderId="17" xfId="0" applyNumberFormat="1" applyFont="1" applyFill="1" applyBorder="1" applyAlignment="1" applyProtection="1">
      <alignment horizontal="right"/>
      <protection locked="0"/>
    </xf>
    <xf numFmtId="167" fontId="25" fillId="0" borderId="32" xfId="0" applyNumberFormat="1" applyFont="1" applyBorder="1"/>
    <xf numFmtId="167" fontId="20" fillId="11" borderId="36" xfId="0" applyNumberFormat="1" applyFont="1" applyFill="1" applyBorder="1" applyAlignment="1" applyProtection="1">
      <alignment horizontal="right"/>
      <protection locked="0"/>
    </xf>
    <xf numFmtId="0" fontId="2" fillId="0" borderId="6" xfId="0" applyFont="1" applyBorder="1" applyAlignment="1">
      <alignment horizontal="left" wrapText="1"/>
    </xf>
    <xf numFmtId="167" fontId="20" fillId="11" borderId="15" xfId="0" applyNumberFormat="1" applyFont="1" applyFill="1" applyBorder="1" applyAlignment="1" applyProtection="1">
      <alignment horizontal="right"/>
      <protection locked="0"/>
    </xf>
    <xf numFmtId="167" fontId="20" fillId="11" borderId="16" xfId="0" applyNumberFormat="1" applyFont="1" applyFill="1" applyBorder="1" applyAlignment="1" applyProtection="1">
      <alignment horizontal="right"/>
      <protection locked="0"/>
    </xf>
    <xf numFmtId="167" fontId="20" fillId="11" borderId="17" xfId="0" applyNumberFormat="1" applyFont="1" applyFill="1" applyBorder="1" applyAlignment="1" applyProtection="1">
      <alignment horizontal="right"/>
      <protection locked="0"/>
    </xf>
    <xf numFmtId="0" fontId="0" fillId="0" borderId="33" xfId="0" applyBorder="1"/>
    <xf numFmtId="167" fontId="20" fillId="11" borderId="39" xfId="0" applyNumberFormat="1" applyFont="1" applyFill="1" applyBorder="1" applyAlignment="1" applyProtection="1">
      <alignment horizontal="right"/>
      <protection locked="0"/>
    </xf>
    <xf numFmtId="167" fontId="3" fillId="8" borderId="20" xfId="0" applyNumberFormat="1" applyFont="1" applyFill="1" applyBorder="1"/>
    <xf numFmtId="167" fontId="3" fillId="8" borderId="21" xfId="0" applyNumberFormat="1" applyFont="1" applyFill="1" applyBorder="1"/>
    <xf numFmtId="167" fontId="25" fillId="0" borderId="42" xfId="0" applyNumberFormat="1" applyFont="1" applyBorder="1"/>
    <xf numFmtId="167" fontId="25" fillId="0" borderId="43" xfId="0" applyNumberFormat="1" applyFont="1" applyBorder="1"/>
    <xf numFmtId="167" fontId="20" fillId="11" borderId="6" xfId="0" applyNumberFormat="1" applyFont="1" applyFill="1" applyBorder="1" applyAlignment="1" applyProtection="1">
      <alignment horizontal="right"/>
      <protection locked="0"/>
    </xf>
    <xf numFmtId="167" fontId="20" fillId="11" borderId="28" xfId="0" applyNumberFormat="1" applyFont="1" applyFill="1" applyBorder="1" applyAlignment="1" applyProtection="1">
      <alignment horizontal="right"/>
      <protection locked="0"/>
    </xf>
    <xf numFmtId="167" fontId="25" fillId="0" borderId="44" xfId="0" applyNumberFormat="1" applyFont="1" applyBorder="1"/>
    <xf numFmtId="167" fontId="20" fillId="12" borderId="32" xfId="0" applyNumberFormat="1" applyFont="1" applyFill="1" applyBorder="1" applyAlignment="1" applyProtection="1">
      <alignment horizontal="right"/>
      <protection locked="0"/>
    </xf>
    <xf numFmtId="167" fontId="20" fillId="12" borderId="36" xfId="0" applyNumberFormat="1" applyFont="1" applyFill="1" applyBorder="1" applyAlignment="1" applyProtection="1">
      <alignment horizontal="right"/>
      <protection locked="0"/>
    </xf>
    <xf numFmtId="167" fontId="20" fillId="12" borderId="6" xfId="0" applyNumberFormat="1" applyFont="1" applyFill="1" applyBorder="1" applyAlignment="1" applyProtection="1">
      <alignment horizontal="right"/>
      <protection locked="0"/>
    </xf>
    <xf numFmtId="167" fontId="20" fillId="12" borderId="28" xfId="0" applyNumberFormat="1" applyFont="1" applyFill="1" applyBorder="1" applyAlignment="1" applyProtection="1">
      <alignment horizontal="right"/>
      <protection locked="0"/>
    </xf>
    <xf numFmtId="10" fontId="25" fillId="0" borderId="45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indent="1"/>
    </xf>
    <xf numFmtId="0" fontId="3" fillId="2" borderId="32" xfId="0" applyFont="1" applyFill="1" applyBorder="1" applyAlignment="1">
      <alignment horizontal="left" vertical="top" wrapText="1"/>
    </xf>
    <xf numFmtId="0" fontId="3" fillId="3" borderId="32" xfId="0" applyFont="1" applyFill="1" applyBorder="1" applyAlignment="1">
      <alignment horizontal="left" vertical="top"/>
    </xf>
    <xf numFmtId="0" fontId="2" fillId="0" borderId="32" xfId="0" applyFont="1" applyBorder="1" applyAlignment="1">
      <alignment horizontal="left" indent="2"/>
    </xf>
    <xf numFmtId="0" fontId="2" fillId="0" borderId="36" xfId="0" applyFont="1" applyBorder="1" applyAlignment="1">
      <alignment horizontal="left" indent="1"/>
    </xf>
    <xf numFmtId="0" fontId="2" fillId="0" borderId="47" xfId="0" applyFont="1" applyFill="1" applyBorder="1" applyAlignment="1">
      <alignment horizontal="left" indent="1"/>
    </xf>
    <xf numFmtId="0" fontId="2" fillId="0" borderId="29" xfId="0" applyFont="1" applyFill="1" applyBorder="1" applyAlignment="1">
      <alignment horizontal="center"/>
    </xf>
    <xf numFmtId="0" fontId="0" fillId="9" borderId="0" xfId="0" applyFill="1"/>
    <xf numFmtId="0" fontId="9" fillId="8" borderId="0" xfId="0" applyFont="1" applyFill="1"/>
    <xf numFmtId="0" fontId="1" fillId="8" borderId="0" xfId="0" applyFont="1" applyFill="1"/>
    <xf numFmtId="10" fontId="3" fillId="0" borderId="45" xfId="0" applyNumberFormat="1" applyFont="1" applyBorder="1" applyAlignment="1">
      <alignment horizontal="center" vertical="center" wrapText="1"/>
    </xf>
    <xf numFmtId="0" fontId="25" fillId="0" borderId="46" xfId="0" applyFont="1" applyBorder="1" applyAlignment="1">
      <alignment horizontal="left"/>
    </xf>
    <xf numFmtId="0" fontId="25" fillId="0" borderId="42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2" fillId="8" borderId="17" xfId="0" applyFont="1" applyFill="1" applyBorder="1" applyAlignment="1">
      <alignment horizontal="center"/>
    </xf>
    <xf numFmtId="0" fontId="20" fillId="0" borderId="46" xfId="0" applyFont="1" applyBorder="1" applyAlignment="1">
      <alignment horizontal="left"/>
    </xf>
    <xf numFmtId="0" fontId="20" fillId="0" borderId="32" xfId="0" applyFont="1" applyBorder="1" applyAlignment="1">
      <alignment horizontal="left"/>
    </xf>
    <xf numFmtId="0" fontId="20" fillId="0" borderId="48" xfId="0" applyFont="1" applyBorder="1" applyAlignment="1">
      <alignment horizontal="left"/>
    </xf>
    <xf numFmtId="10" fontId="25" fillId="0" borderId="10" xfId="0" applyNumberFormat="1" applyFont="1" applyBorder="1" applyAlignment="1">
      <alignment horizontal="center" vertical="center" wrapText="1"/>
    </xf>
    <xf numFmtId="0" fontId="2" fillId="8" borderId="49" xfId="0" applyFont="1" applyFill="1" applyBorder="1" applyAlignment="1">
      <alignment horizontal="center"/>
    </xf>
    <xf numFmtId="0" fontId="2" fillId="8" borderId="5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3" fontId="20" fillId="6" borderId="4" xfId="0" applyNumberFormat="1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167" fontId="20" fillId="11" borderId="4" xfId="0" applyNumberFormat="1" applyFont="1" applyFill="1" applyBorder="1" applyAlignment="1" applyProtection="1">
      <alignment horizontal="center"/>
      <protection locked="0"/>
    </xf>
    <xf numFmtId="3" fontId="2" fillId="0" borderId="0" xfId="0" applyNumberFormat="1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165" fontId="6" fillId="0" borderId="0" xfId="3" applyFont="1" applyBorder="1" applyAlignment="1">
      <alignment horizontal="center"/>
    </xf>
    <xf numFmtId="0" fontId="7" fillId="0" borderId="0" xfId="0" applyFont="1" applyAlignment="1">
      <alignment horizontal="center"/>
    </xf>
    <xf numFmtId="0" fontId="20" fillId="0" borderId="32" xfId="0" applyFont="1" applyBorder="1" applyAlignment="1">
      <alignment horizontal="left" indent="1"/>
    </xf>
    <xf numFmtId="0" fontId="20" fillId="0" borderId="36" xfId="0" applyFont="1" applyBorder="1" applyAlignment="1">
      <alignment horizontal="left" indent="1"/>
    </xf>
    <xf numFmtId="0" fontId="2" fillId="8" borderId="46" xfId="0" applyFont="1" applyFill="1" applyBorder="1" applyAlignment="1">
      <alignment horizontal="left"/>
    </xf>
    <xf numFmtId="0" fontId="2" fillId="8" borderId="36" xfId="0" applyFont="1" applyFill="1" applyBorder="1" applyAlignment="1">
      <alignment horizontal="left"/>
    </xf>
    <xf numFmtId="0" fontId="2" fillId="8" borderId="48" xfId="0" applyFont="1" applyFill="1" applyBorder="1" applyAlignment="1">
      <alignment horizontal="left"/>
    </xf>
    <xf numFmtId="0" fontId="26" fillId="0" borderId="0" xfId="0" applyFont="1" applyFill="1" applyAlignment="1"/>
    <xf numFmtId="0" fontId="27" fillId="0" borderId="0" xfId="0" applyFont="1"/>
    <xf numFmtId="0" fontId="3" fillId="8" borderId="31" xfId="0" applyFont="1" applyFill="1" applyBorder="1" applyAlignment="1">
      <alignment horizontal="center"/>
    </xf>
    <xf numFmtId="0" fontId="0" fillId="0" borderId="0" xfId="0" applyAlignment="1">
      <alignment vertical="center"/>
    </xf>
    <xf numFmtId="167" fontId="0" fillId="0" borderId="0" xfId="0" applyNumberFormat="1" applyAlignment="1">
      <alignment vertical="center"/>
    </xf>
    <xf numFmtId="0" fontId="22" fillId="0" borderId="0" xfId="0" applyFont="1" applyBorder="1" applyAlignment="1"/>
    <xf numFmtId="0" fontId="22" fillId="0" borderId="2" xfId="0" applyFont="1" applyBorder="1" applyAlignment="1">
      <alignment horizontal="center"/>
    </xf>
    <xf numFmtId="0" fontId="23" fillId="0" borderId="1" xfId="0" applyFont="1" applyFill="1" applyBorder="1" applyAlignment="1">
      <alignment horizontal="right"/>
    </xf>
    <xf numFmtId="168" fontId="23" fillId="8" borderId="4" xfId="0" applyNumberFormat="1" applyFont="1" applyFill="1" applyBorder="1"/>
    <xf numFmtId="0" fontId="23" fillId="0" borderId="0" xfId="0" applyFont="1" applyFill="1" applyBorder="1" applyAlignment="1">
      <alignment horizontal="right"/>
    </xf>
    <xf numFmtId="168" fontId="23" fillId="0" borderId="0" xfId="0" applyNumberFormat="1" applyFont="1" applyFill="1" applyBorder="1"/>
    <xf numFmtId="167" fontId="25" fillId="0" borderId="25" xfId="0" applyNumberFormat="1" applyFont="1" applyBorder="1"/>
    <xf numFmtId="167" fontId="25" fillId="0" borderId="31" xfId="0" applyNumberFormat="1" applyFont="1" applyBorder="1"/>
    <xf numFmtId="10" fontId="3" fillId="0" borderId="23" xfId="0" applyNumberFormat="1" applyFont="1" applyBorder="1" applyAlignment="1">
      <alignment horizontal="center" vertical="center" wrapText="1"/>
    </xf>
    <xf numFmtId="167" fontId="21" fillId="10" borderId="4" xfId="0" applyNumberFormat="1" applyFont="1" applyFill="1" applyBorder="1" applyAlignment="1">
      <alignment horizontal="right" vertical="center"/>
    </xf>
    <xf numFmtId="167" fontId="2" fillId="0" borderId="4" xfId="0" applyNumberFormat="1" applyFont="1" applyBorder="1" applyAlignment="1">
      <alignment horizontal="right" vertical="center"/>
    </xf>
    <xf numFmtId="164" fontId="21" fillId="10" borderId="4" xfId="0" applyNumberFormat="1" applyFont="1" applyFill="1" applyBorder="1" applyAlignment="1">
      <alignment horizontal="right" vertical="center"/>
    </xf>
    <xf numFmtId="164" fontId="22" fillId="2" borderId="8" xfId="0" applyNumberFormat="1" applyFont="1" applyFill="1" applyBorder="1" applyAlignment="1">
      <alignment horizontal="right" vertical="center"/>
    </xf>
    <xf numFmtId="164" fontId="23" fillId="0" borderId="7" xfId="0" applyNumberFormat="1" applyFont="1" applyBorder="1" applyAlignment="1">
      <alignment horizontal="right" vertical="center"/>
    </xf>
    <xf numFmtId="164" fontId="23" fillId="0" borderId="4" xfId="0" applyNumberFormat="1" applyFont="1" applyBorder="1" applyAlignment="1">
      <alignment horizontal="right" vertical="center"/>
    </xf>
    <xf numFmtId="164" fontId="23" fillId="0" borderId="8" xfId="0" applyNumberFormat="1" applyFont="1" applyBorder="1" applyAlignment="1">
      <alignment horizontal="right" vertical="center"/>
    </xf>
    <xf numFmtId="164" fontId="23" fillId="0" borderId="6" xfId="0" applyNumberFormat="1" applyFont="1" applyBorder="1" applyAlignment="1">
      <alignment horizontal="right" vertical="center"/>
    </xf>
    <xf numFmtId="0" fontId="11" fillId="0" borderId="0" xfId="0" applyFont="1" applyFill="1" applyBorder="1" applyAlignment="1">
      <alignment horizontal="right"/>
    </xf>
    <xf numFmtId="0" fontId="2" fillId="0" borderId="32" xfId="0" applyFont="1" applyBorder="1" applyAlignment="1">
      <alignment horizontal="left" wrapText="1" indent="1"/>
    </xf>
    <xf numFmtId="167" fontId="2" fillId="0" borderId="18" xfId="0" applyNumberFormat="1" applyFont="1" applyBorder="1" applyAlignment="1">
      <alignment horizontal="right" vertical="center"/>
    </xf>
    <xf numFmtId="167" fontId="2" fillId="0" borderId="15" xfId="0" applyNumberFormat="1" applyFont="1" applyBorder="1" applyAlignment="1">
      <alignment horizontal="right" vertical="center"/>
    </xf>
    <xf numFmtId="164" fontId="3" fillId="3" borderId="35" xfId="0" applyNumberFormat="1" applyFont="1" applyFill="1" applyBorder="1" applyAlignment="1">
      <alignment horizontal="right" vertical="center"/>
    </xf>
    <xf numFmtId="167" fontId="5" fillId="0" borderId="18" xfId="0" applyNumberFormat="1" applyFont="1" applyBorder="1" applyAlignment="1">
      <alignment horizontal="right" vertical="center"/>
    </xf>
    <xf numFmtId="167" fontId="5" fillId="0" borderId="4" xfId="0" applyNumberFormat="1" applyFont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7" fontId="2" fillId="0" borderId="19" xfId="0" applyNumberFormat="1" applyFont="1" applyBorder="1" applyAlignment="1">
      <alignment horizontal="right" vertical="center"/>
    </xf>
    <xf numFmtId="167" fontId="2" fillId="0" borderId="16" xfId="0" applyNumberFormat="1" applyFont="1" applyBorder="1" applyAlignment="1">
      <alignment horizontal="right" vertical="center"/>
    </xf>
    <xf numFmtId="167" fontId="2" fillId="0" borderId="17" xfId="0" applyNumberFormat="1" applyFont="1" applyBorder="1" applyAlignment="1">
      <alignment horizontal="right" vertical="center"/>
    </xf>
    <xf numFmtId="164" fontId="5" fillId="0" borderId="25" xfId="0" applyNumberFormat="1" applyFont="1" applyBorder="1" applyAlignment="1">
      <alignment horizontal="right"/>
    </xf>
    <xf numFmtId="164" fontId="5" fillId="0" borderId="34" xfId="0" applyNumberFormat="1" applyFont="1" applyBorder="1" applyAlignment="1">
      <alignment horizontal="right"/>
    </xf>
    <xf numFmtId="164" fontId="12" fillId="0" borderId="21" xfId="0" applyNumberFormat="1" applyFont="1" applyBorder="1" applyAlignment="1">
      <alignment horizontal="right"/>
    </xf>
    <xf numFmtId="164" fontId="5" fillId="0" borderId="26" xfId="0" applyNumberFormat="1" applyFont="1" applyBorder="1" applyAlignment="1">
      <alignment horizontal="right"/>
    </xf>
    <xf numFmtId="167" fontId="5" fillId="17" borderId="4" xfId="0" applyNumberFormat="1" applyFont="1" applyFill="1" applyBorder="1" applyAlignment="1">
      <alignment horizontal="right"/>
    </xf>
    <xf numFmtId="167" fontId="2" fillId="0" borderId="30" xfId="0" applyNumberFormat="1" applyFont="1" applyBorder="1" applyAlignment="1">
      <alignment horizontal="right" vertical="center"/>
    </xf>
    <xf numFmtId="167" fontId="2" fillId="0" borderId="25" xfId="0" applyNumberFormat="1" applyFont="1" applyBorder="1" applyAlignment="1">
      <alignment horizontal="right" vertical="center"/>
    </xf>
    <xf numFmtId="167" fontId="2" fillId="0" borderId="31" xfId="0" applyNumberFormat="1" applyFont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top"/>
    </xf>
    <xf numFmtId="167" fontId="3" fillId="2" borderId="37" xfId="0" applyNumberFormat="1" applyFont="1" applyFill="1" applyBorder="1" applyAlignment="1">
      <alignment horizontal="right" vertical="center"/>
    </xf>
    <xf numFmtId="0" fontId="2" fillId="0" borderId="3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167" fontId="3" fillId="2" borderId="35" xfId="0" applyNumberFormat="1" applyFont="1" applyFill="1" applyBorder="1" applyAlignment="1">
      <alignment horizontal="right" vertical="center"/>
    </xf>
    <xf numFmtId="164" fontId="3" fillId="3" borderId="37" xfId="0" applyNumberFormat="1" applyFont="1" applyFill="1" applyBorder="1" applyAlignment="1">
      <alignment horizontal="right" vertical="center"/>
    </xf>
    <xf numFmtId="167" fontId="5" fillId="0" borderId="34" xfId="0" applyNumberFormat="1" applyFont="1" applyBorder="1" applyAlignment="1">
      <alignment horizontal="right" vertical="center"/>
    </xf>
    <xf numFmtId="166" fontId="2" fillId="9" borderId="19" xfId="0" applyNumberFormat="1" applyFont="1" applyFill="1" applyBorder="1" applyAlignment="1">
      <alignment horizontal="center" vertical="center"/>
    </xf>
    <xf numFmtId="166" fontId="2" fillId="9" borderId="16" xfId="0" applyNumberFormat="1" applyFont="1" applyFill="1" applyBorder="1" applyAlignment="1">
      <alignment horizontal="center" vertical="center"/>
    </xf>
    <xf numFmtId="166" fontId="2" fillId="9" borderId="17" xfId="0" applyNumberFormat="1" applyFont="1" applyFill="1" applyBorder="1" applyAlignment="1">
      <alignment horizontal="center" vertical="center"/>
    </xf>
    <xf numFmtId="164" fontId="3" fillId="3" borderId="58" xfId="0" applyNumberFormat="1" applyFont="1" applyFill="1" applyBorder="1" applyAlignment="1">
      <alignment horizontal="right" vertical="center"/>
    </xf>
    <xf numFmtId="164" fontId="3" fillId="3" borderId="5" xfId="0" applyNumberFormat="1" applyFont="1" applyFill="1" applyBorder="1" applyAlignment="1">
      <alignment horizontal="right" vertical="center"/>
    </xf>
    <xf numFmtId="164" fontId="3" fillId="3" borderId="41" xfId="0" applyNumberFormat="1" applyFont="1" applyFill="1" applyBorder="1" applyAlignment="1">
      <alignment horizontal="right" vertical="center"/>
    </xf>
    <xf numFmtId="167" fontId="2" fillId="0" borderId="38" xfId="0" applyNumberFormat="1" applyFont="1" applyBorder="1" applyAlignment="1">
      <alignment horizontal="right" vertical="center"/>
    </xf>
    <xf numFmtId="167" fontId="2" fillId="0" borderId="58" xfId="0" applyNumberFormat="1" applyFont="1" applyBorder="1" applyAlignment="1">
      <alignment horizontal="right" vertical="center"/>
    </xf>
    <xf numFmtId="167" fontId="2" fillId="0" borderId="5" xfId="0" applyNumberFormat="1" applyFont="1" applyBorder="1" applyAlignment="1">
      <alignment horizontal="right" vertical="center"/>
    </xf>
    <xf numFmtId="167" fontId="2" fillId="0" borderId="41" xfId="0" applyNumberFormat="1" applyFont="1" applyBorder="1" applyAlignment="1">
      <alignment horizontal="right" vertical="center"/>
    </xf>
    <xf numFmtId="167" fontId="5" fillId="0" borderId="30" xfId="0" applyNumberFormat="1" applyFont="1" applyBorder="1" applyAlignment="1">
      <alignment horizontal="right" vertical="center"/>
    </xf>
    <xf numFmtId="167" fontId="5" fillId="0" borderId="25" xfId="0" applyNumberFormat="1" applyFont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7" fontId="5" fillId="0" borderId="38" xfId="0" applyNumberFormat="1" applyFont="1" applyBorder="1" applyAlignment="1">
      <alignment horizontal="right" vertical="center"/>
    </xf>
    <xf numFmtId="167" fontId="2" fillId="0" borderId="59" xfId="0" applyNumberFormat="1" applyFont="1" applyBorder="1" applyAlignment="1">
      <alignment horizontal="right" vertical="center"/>
    </xf>
    <xf numFmtId="167" fontId="2" fillId="0" borderId="60" xfId="0" applyNumberFormat="1" applyFont="1" applyBorder="1" applyAlignment="1">
      <alignment horizontal="right" vertical="center"/>
    </xf>
    <xf numFmtId="167" fontId="2" fillId="0" borderId="50" xfId="0" applyNumberFormat="1" applyFont="1" applyBorder="1" applyAlignment="1">
      <alignment horizontal="right" vertical="center"/>
    </xf>
    <xf numFmtId="0" fontId="29" fillId="0" borderId="45" xfId="0" applyFont="1" applyBorder="1" applyAlignment="1">
      <alignment vertical="center" wrapText="1"/>
    </xf>
    <xf numFmtId="170" fontId="31" fillId="0" borderId="11" xfId="3" applyNumberFormat="1" applyFont="1" applyBorder="1" applyAlignment="1">
      <alignment horizontal="right" vertical="center"/>
    </xf>
    <xf numFmtId="170" fontId="31" fillId="0" borderId="9" xfId="3" applyNumberFormat="1" applyFont="1" applyBorder="1" applyAlignment="1">
      <alignment horizontal="right" vertical="center"/>
    </xf>
    <xf numFmtId="170" fontId="31" fillId="0" borderId="10" xfId="3" applyNumberFormat="1" applyFont="1" applyBorder="1" applyAlignment="1">
      <alignment horizontal="right" vertical="center"/>
    </xf>
    <xf numFmtId="0" fontId="31" fillId="0" borderId="10" xfId="0" applyFont="1" applyBorder="1" applyAlignment="1">
      <alignment horizontal="center" vertical="center"/>
    </xf>
    <xf numFmtId="165" fontId="29" fillId="0" borderId="23" xfId="3" applyFont="1" applyBorder="1" applyAlignment="1">
      <alignment horizontal="center" vertical="center" wrapText="1"/>
    </xf>
    <xf numFmtId="165" fontId="29" fillId="0" borderId="11" xfId="3" applyFont="1" applyBorder="1" applyAlignment="1">
      <alignment horizontal="center" vertical="center" wrapText="1"/>
    </xf>
    <xf numFmtId="165" fontId="29" fillId="0" borderId="9" xfId="3" applyFont="1" applyBorder="1" applyAlignment="1">
      <alignment horizontal="center" vertical="center" wrapText="1"/>
    </xf>
    <xf numFmtId="165" fontId="29" fillId="0" borderId="10" xfId="3" applyFont="1" applyBorder="1" applyAlignment="1">
      <alignment horizontal="center" vertical="center" wrapText="1"/>
    </xf>
    <xf numFmtId="165" fontId="30" fillId="0" borderId="10" xfId="3" applyFont="1" applyBorder="1" applyAlignment="1">
      <alignment horizontal="center" vertical="center"/>
    </xf>
    <xf numFmtId="165" fontId="29" fillId="0" borderId="13" xfId="3" applyFont="1" applyBorder="1" applyAlignment="1">
      <alignment horizontal="center" vertical="center" wrapText="1"/>
    </xf>
    <xf numFmtId="167" fontId="29" fillId="0" borderId="0" xfId="0" applyNumberFormat="1" applyFont="1" applyFill="1" applyBorder="1" applyAlignment="1">
      <alignment vertical="center"/>
    </xf>
    <xf numFmtId="167" fontId="31" fillId="0" borderId="0" xfId="0" applyNumberFormat="1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3" fillId="3" borderId="44" xfId="0" applyFont="1" applyFill="1" applyBorder="1" applyAlignment="1">
      <alignment horizontal="left" vertical="top"/>
    </xf>
    <xf numFmtId="0" fontId="12" fillId="3" borderId="61" xfId="0" applyFont="1" applyFill="1" applyBorder="1" applyAlignment="1">
      <alignment horizontal="center" vertical="top"/>
    </xf>
    <xf numFmtId="167" fontId="3" fillId="2" borderId="61" xfId="0" applyNumberFormat="1" applyFont="1" applyFill="1" applyBorder="1" applyAlignment="1">
      <alignment horizontal="right" vertical="center"/>
    </xf>
    <xf numFmtId="167" fontId="3" fillId="2" borderId="62" xfId="0" applyNumberFormat="1" applyFont="1" applyFill="1" applyBorder="1" applyAlignment="1">
      <alignment horizontal="right" vertical="center"/>
    </xf>
    <xf numFmtId="0" fontId="12" fillId="3" borderId="37" xfId="0" applyFont="1" applyFill="1" applyBorder="1" applyAlignment="1">
      <alignment horizontal="center" vertical="top"/>
    </xf>
    <xf numFmtId="164" fontId="2" fillId="0" borderId="25" xfId="0" applyNumberFormat="1" applyFont="1" applyBorder="1" applyAlignment="1">
      <alignment horizontal="right"/>
    </xf>
    <xf numFmtId="164" fontId="2" fillId="0" borderId="31" xfId="0" applyNumberFormat="1" applyFont="1" applyBorder="1" applyAlignment="1">
      <alignment horizontal="right"/>
    </xf>
    <xf numFmtId="167" fontId="2" fillId="7" borderId="18" xfId="0" applyNumberFormat="1" applyFont="1" applyFill="1" applyBorder="1" applyAlignment="1">
      <alignment horizontal="right"/>
    </xf>
    <xf numFmtId="167" fontId="2" fillId="7" borderId="7" xfId="0" applyNumberFormat="1" applyFont="1" applyFill="1" applyBorder="1" applyAlignment="1">
      <alignment horizontal="right"/>
    </xf>
    <xf numFmtId="167" fontId="2" fillId="7" borderId="35" xfId="0" applyNumberFormat="1" applyFont="1" applyFill="1" applyBorder="1" applyAlignment="1">
      <alignment horizontal="right"/>
    </xf>
    <xf numFmtId="167" fontId="2" fillId="7" borderId="30" xfId="0" applyNumberFormat="1" applyFont="1" applyFill="1" applyBorder="1" applyAlignment="1">
      <alignment horizontal="right"/>
    </xf>
    <xf numFmtId="167" fontId="2" fillId="7" borderId="25" xfId="0" applyNumberFormat="1" applyFont="1" applyFill="1" applyBorder="1" applyAlignment="1">
      <alignment horizontal="right"/>
    </xf>
    <xf numFmtId="167" fontId="2" fillId="7" borderId="31" xfId="0" applyNumberFormat="1" applyFont="1" applyFill="1" applyBorder="1" applyAlignment="1">
      <alignment horizontal="right"/>
    </xf>
    <xf numFmtId="167" fontId="2" fillId="7" borderId="26" xfId="0" applyNumberFormat="1" applyFont="1" applyFill="1" applyBorder="1" applyAlignment="1">
      <alignment horizontal="right"/>
    </xf>
    <xf numFmtId="167" fontId="2" fillId="7" borderId="38" xfId="0" applyNumberFormat="1" applyFont="1" applyFill="1" applyBorder="1" applyAlignment="1">
      <alignment horizontal="right"/>
    </xf>
    <xf numFmtId="0" fontId="12" fillId="3" borderId="37" xfId="0" applyFont="1" applyFill="1" applyBorder="1" applyAlignment="1">
      <alignment horizontal="center" vertical="center"/>
    </xf>
    <xf numFmtId="0" fontId="29" fillId="0" borderId="0" xfId="0" applyFont="1" applyFill="1" applyBorder="1" applyAlignment="1"/>
    <xf numFmtId="0" fontId="30" fillId="0" borderId="0" xfId="0" applyFont="1" applyAlignment="1">
      <alignment horizontal="center"/>
    </xf>
    <xf numFmtId="167" fontId="30" fillId="0" borderId="0" xfId="3" applyNumberFormat="1" applyFont="1" applyAlignment="1">
      <alignment horizontal="right" vertical="center"/>
    </xf>
    <xf numFmtId="0" fontId="30" fillId="0" borderId="0" xfId="0" applyFont="1"/>
    <xf numFmtId="0" fontId="30" fillId="0" borderId="0" xfId="0" applyFont="1" applyFill="1" applyBorder="1"/>
    <xf numFmtId="0" fontId="30" fillId="0" borderId="0" xfId="0" applyFont="1" applyFill="1"/>
    <xf numFmtId="0" fontId="30" fillId="0" borderId="0" xfId="0" applyFont="1" applyAlignment="1">
      <alignment horizontal="right" vertical="center"/>
    </xf>
    <xf numFmtId="0" fontId="0" fillId="0" borderId="0" xfId="0" applyNumberFormat="1" applyBorder="1"/>
    <xf numFmtId="0" fontId="5" fillId="0" borderId="56" xfId="0" applyNumberFormat="1" applyFont="1" applyFill="1" applyBorder="1" applyAlignment="1">
      <alignment horizontal="right"/>
    </xf>
    <xf numFmtId="0" fontId="0" fillId="0" borderId="56" xfId="0" applyNumberFormat="1" applyBorder="1"/>
    <xf numFmtId="0" fontId="5" fillId="0" borderId="56" xfId="0" applyNumberFormat="1" applyFont="1" applyFill="1" applyBorder="1" applyAlignment="1">
      <alignment horizontal="right" wrapText="1"/>
    </xf>
    <xf numFmtId="167" fontId="5" fillId="17" borderId="5" xfId="0" applyNumberFormat="1" applyFont="1" applyFill="1" applyBorder="1" applyAlignment="1">
      <alignment horizontal="right"/>
    </xf>
    <xf numFmtId="164" fontId="12" fillId="0" borderId="22" xfId="0" applyNumberFormat="1" applyFont="1" applyBorder="1" applyAlignment="1">
      <alignment horizontal="right"/>
    </xf>
    <xf numFmtId="169" fontId="12" fillId="0" borderId="9" xfId="0" applyNumberFormat="1" applyFont="1" applyBorder="1" applyAlignment="1">
      <alignment horizontal="right"/>
    </xf>
    <xf numFmtId="169" fontId="12" fillId="0" borderId="13" xfId="0" applyNumberFormat="1" applyFont="1" applyBorder="1" applyAlignment="1">
      <alignment horizontal="right"/>
    </xf>
    <xf numFmtId="169" fontId="12" fillId="0" borderId="23" xfId="0" applyNumberFormat="1" applyFont="1" applyBorder="1" applyAlignment="1">
      <alignment horizontal="right"/>
    </xf>
    <xf numFmtId="0" fontId="33" fillId="0" borderId="0" xfId="0" applyFont="1" applyBorder="1" applyAlignment="1">
      <alignment horizontal="center" vertical="center"/>
    </xf>
    <xf numFmtId="0" fontId="34" fillId="0" borderId="0" xfId="0" applyNumberFormat="1" applyFont="1" applyBorder="1" applyAlignment="1">
      <alignment horizontal="center" vertical="center" wrapText="1"/>
    </xf>
    <xf numFmtId="49" fontId="33" fillId="0" borderId="0" xfId="0" applyNumberFormat="1" applyFont="1" applyBorder="1" applyAlignment="1">
      <alignment horizontal="center" vertical="center"/>
    </xf>
    <xf numFmtId="0" fontId="3" fillId="2" borderId="45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4" xfId="0" applyFont="1" applyFill="1" applyBorder="1"/>
    <xf numFmtId="0" fontId="2" fillId="0" borderId="48" xfId="0" applyFont="1" applyBorder="1" applyAlignment="1">
      <alignment horizontal="left" indent="1"/>
    </xf>
    <xf numFmtId="164" fontId="3" fillId="0" borderId="23" xfId="0" applyNumberFormat="1" applyFont="1" applyBorder="1" applyAlignment="1">
      <alignment horizontal="right"/>
    </xf>
    <xf numFmtId="167" fontId="5" fillId="17" borderId="7" xfId="0" applyNumberFormat="1" applyFont="1" applyFill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7" fontId="5" fillId="17" borderId="57" xfId="0" applyNumberFormat="1" applyFont="1" applyFill="1" applyBorder="1" applyAlignment="1">
      <alignment horizontal="right"/>
    </xf>
    <xf numFmtId="169" fontId="12" fillId="0" borderId="11" xfId="0" applyNumberFormat="1" applyFont="1" applyBorder="1" applyAlignment="1">
      <alignment horizontal="right"/>
    </xf>
    <xf numFmtId="0" fontId="5" fillId="0" borderId="8" xfId="0" applyNumberFormat="1" applyFont="1" applyBorder="1" applyAlignment="1">
      <alignment horizontal="left" vertical="center" wrapText="1"/>
    </xf>
    <xf numFmtId="0" fontId="23" fillId="0" borderId="8" xfId="0" applyNumberFormat="1" applyFont="1" applyBorder="1" applyAlignment="1">
      <alignment vertical="center" wrapText="1"/>
    </xf>
    <xf numFmtId="0" fontId="5" fillId="0" borderId="22" xfId="0" applyNumberFormat="1" applyFont="1" applyBorder="1" applyAlignment="1">
      <alignment horizontal="left" vertical="center" wrapText="1"/>
    </xf>
    <xf numFmtId="0" fontId="5" fillId="0" borderId="23" xfId="0" applyNumberFormat="1" applyFont="1" applyBorder="1" applyAlignment="1">
      <alignment horizontal="left" vertical="center" wrapText="1"/>
    </xf>
    <xf numFmtId="170" fontId="29" fillId="0" borderId="14" xfId="3" applyNumberFormat="1" applyFont="1" applyBorder="1" applyAlignment="1">
      <alignment horizontal="right" vertical="center"/>
    </xf>
    <xf numFmtId="170" fontId="31" fillId="0" borderId="13" xfId="3" applyNumberFormat="1" applyFont="1" applyBorder="1" applyAlignment="1">
      <alignment horizontal="right" vertical="center"/>
    </xf>
    <xf numFmtId="170" fontId="29" fillId="0" borderId="23" xfId="3" applyNumberFormat="1" applyFont="1" applyBorder="1" applyAlignment="1">
      <alignment horizontal="right" vertical="center"/>
    </xf>
    <xf numFmtId="0" fontId="2" fillId="8" borderId="32" xfId="0" applyFont="1" applyFill="1" applyBorder="1" applyAlignment="1">
      <alignment horizontal="left"/>
    </xf>
    <xf numFmtId="0" fontId="3" fillId="3" borderId="32" xfId="0" applyFont="1" applyFill="1" applyBorder="1" applyAlignment="1">
      <alignment horizontal="left" vertical="center"/>
    </xf>
    <xf numFmtId="167" fontId="32" fillId="0" borderId="0" xfId="3" applyNumberFormat="1" applyFont="1" applyAlignment="1">
      <alignment horizontal="right" vertical="center"/>
    </xf>
    <xf numFmtId="167" fontId="35" fillId="0" borderId="0" xfId="0" applyNumberFormat="1" applyFont="1" applyAlignment="1">
      <alignment horizontal="center"/>
    </xf>
    <xf numFmtId="167" fontId="31" fillId="0" borderId="0" xfId="3" applyNumberFormat="1" applyFont="1" applyAlignment="1">
      <alignment horizontal="right" vertical="center"/>
    </xf>
    <xf numFmtId="167" fontId="29" fillId="0" borderId="0" xfId="3" applyNumberFormat="1" applyFont="1" applyAlignment="1">
      <alignment horizontal="right" vertical="center"/>
    </xf>
    <xf numFmtId="164" fontId="23" fillId="2" borderId="7" xfId="0" applyNumberFormat="1" applyFont="1" applyFill="1" applyBorder="1" applyAlignment="1">
      <alignment horizontal="right" vertical="center"/>
    </xf>
    <xf numFmtId="164" fontId="23" fillId="2" borderId="4" xfId="0" applyNumberFormat="1" applyFont="1" applyFill="1" applyBorder="1" applyAlignment="1">
      <alignment horizontal="right" vertical="center"/>
    </xf>
    <xf numFmtId="0" fontId="2" fillId="8" borderId="23" xfId="0" applyFont="1" applyFill="1" applyBorder="1" applyAlignment="1">
      <alignment horizontal="center" vertical="center"/>
    </xf>
    <xf numFmtId="167" fontId="25" fillId="0" borderId="30" xfId="0" applyNumberFormat="1" applyFont="1" applyBorder="1"/>
    <xf numFmtId="164" fontId="20" fillId="0" borderId="2" xfId="0" applyNumberFormat="1" applyFont="1" applyBorder="1" applyAlignment="1">
      <alignment horizontal="right" vertical="center"/>
    </xf>
    <xf numFmtId="164" fontId="20" fillId="0" borderId="34" xfId="0" applyNumberFormat="1" applyFont="1" applyBorder="1" applyAlignment="1">
      <alignment horizontal="right" vertical="center"/>
    </xf>
    <xf numFmtId="164" fontId="20" fillId="0" borderId="42" xfId="0" applyNumberFormat="1" applyFont="1" applyBorder="1" applyAlignment="1">
      <alignment horizontal="right" vertical="center"/>
    </xf>
    <xf numFmtId="164" fontId="20" fillId="0" borderId="37" xfId="0" applyNumberFormat="1" applyFont="1" applyBorder="1" applyAlignment="1">
      <alignment horizontal="right" vertical="center"/>
    </xf>
    <xf numFmtId="164" fontId="20" fillId="0" borderId="6" xfId="0" applyNumberFormat="1" applyFont="1" applyBorder="1" applyAlignment="1">
      <alignment horizontal="right" vertical="center"/>
    </xf>
    <xf numFmtId="164" fontId="20" fillId="0" borderId="15" xfId="0" applyNumberFormat="1" applyFont="1" applyBorder="1" applyAlignment="1">
      <alignment horizontal="right" vertical="center"/>
    </xf>
    <xf numFmtId="164" fontId="20" fillId="0" borderId="40" xfId="0" applyNumberFormat="1" applyFont="1" applyBorder="1" applyAlignment="1">
      <alignment horizontal="right" vertical="center"/>
    </xf>
    <xf numFmtId="164" fontId="20" fillId="0" borderId="28" xfId="0" applyNumberFormat="1" applyFont="1" applyBorder="1" applyAlignment="1">
      <alignment horizontal="right" vertical="center"/>
    </xf>
    <xf numFmtId="164" fontId="20" fillId="0" borderId="17" xfId="0" applyNumberFormat="1" applyFont="1" applyBorder="1" applyAlignment="1">
      <alignment horizontal="right" vertical="center"/>
    </xf>
    <xf numFmtId="0" fontId="31" fillId="0" borderId="0" xfId="0" applyFont="1" applyBorder="1" applyAlignment="1">
      <alignment horizontal="left" vertical="center"/>
    </xf>
    <xf numFmtId="164" fontId="20" fillId="6" borderId="11" xfId="0" applyNumberFormat="1" applyFont="1" applyFill="1" applyBorder="1" applyProtection="1">
      <protection locked="0"/>
    </xf>
    <xf numFmtId="164" fontId="20" fillId="6" borderId="14" xfId="0" applyNumberFormat="1" applyFont="1" applyFill="1" applyBorder="1" applyProtection="1">
      <protection locked="0"/>
    </xf>
    <xf numFmtId="167" fontId="20" fillId="11" borderId="26" xfId="0" applyNumberFormat="1" applyFont="1" applyFill="1" applyBorder="1" applyAlignment="1" applyProtection="1">
      <alignment horizontal="right"/>
      <protection locked="0" hidden="1"/>
    </xf>
    <xf numFmtId="167" fontId="20" fillId="11" borderId="25" xfId="0" applyNumberFormat="1" applyFont="1" applyFill="1" applyBorder="1" applyAlignment="1" applyProtection="1">
      <alignment horizontal="right"/>
      <protection locked="0" hidden="1"/>
    </xf>
    <xf numFmtId="167" fontId="20" fillId="11" borderId="31" xfId="0" applyNumberFormat="1" applyFont="1" applyFill="1" applyBorder="1" applyAlignment="1" applyProtection="1">
      <alignment horizontal="right"/>
      <protection locked="0" hidden="1"/>
    </xf>
    <xf numFmtId="167" fontId="20" fillId="11" borderId="27" xfId="0" applyNumberFormat="1" applyFont="1" applyFill="1" applyBorder="1" applyAlignment="1" applyProtection="1">
      <alignment horizontal="right"/>
      <protection locked="0" hidden="1"/>
    </xf>
    <xf numFmtId="167" fontId="20" fillId="11" borderId="16" xfId="0" applyNumberFormat="1" applyFont="1" applyFill="1" applyBorder="1" applyAlignment="1" applyProtection="1">
      <alignment horizontal="right"/>
      <protection locked="0" hidden="1"/>
    </xf>
    <xf numFmtId="167" fontId="20" fillId="11" borderId="17" xfId="0" applyNumberFormat="1" applyFont="1" applyFill="1" applyBorder="1" applyAlignment="1" applyProtection="1">
      <alignment horizontal="right"/>
      <protection locked="0" hidden="1"/>
    </xf>
    <xf numFmtId="164" fontId="3" fillId="3" borderId="3" xfId="0" applyNumberFormat="1" applyFont="1" applyFill="1" applyBorder="1" applyAlignment="1">
      <alignment horizontal="right" vertical="center"/>
    </xf>
    <xf numFmtId="164" fontId="3" fillId="3" borderId="4" xfId="0" applyNumberFormat="1" applyFont="1" applyFill="1" applyBorder="1" applyAlignment="1">
      <alignment horizontal="right" vertical="center"/>
    </xf>
    <xf numFmtId="164" fontId="3" fillId="3" borderId="18" xfId="0" applyNumberFormat="1" applyFont="1" applyFill="1" applyBorder="1" applyAlignment="1">
      <alignment horizontal="right" vertical="center"/>
    </xf>
    <xf numFmtId="164" fontId="3" fillId="3" borderId="15" xfId="0" applyNumberFormat="1" applyFont="1" applyFill="1" applyBorder="1" applyAlignment="1">
      <alignment horizontal="right" vertical="center"/>
    </xf>
    <xf numFmtId="167" fontId="20" fillId="14" borderId="0" xfId="0" applyNumberFormat="1" applyFont="1" applyFill="1" applyBorder="1" applyAlignment="1" applyProtection="1">
      <alignment horizontal="right"/>
    </xf>
    <xf numFmtId="167" fontId="20" fillId="8" borderId="0" xfId="0" applyNumberFormat="1" applyFont="1" applyFill="1" applyBorder="1" applyAlignment="1" applyProtection="1">
      <alignment horizontal="right"/>
    </xf>
    <xf numFmtId="0" fontId="20" fillId="0" borderId="0" xfId="0" applyFont="1" applyProtection="1"/>
    <xf numFmtId="0" fontId="0" fillId="0" borderId="0" xfId="0" applyProtection="1"/>
    <xf numFmtId="10" fontId="3" fillId="8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167" fontId="25" fillId="8" borderId="0" xfId="0" applyNumberFormat="1" applyFont="1" applyFill="1" applyBorder="1" applyProtection="1"/>
    <xf numFmtId="0" fontId="20" fillId="0" borderId="0" xfId="0" applyFont="1" applyBorder="1" applyProtection="1"/>
    <xf numFmtId="167" fontId="3" fillId="8" borderId="24" xfId="0" applyNumberFormat="1" applyFont="1" applyFill="1" applyBorder="1" applyAlignment="1" applyProtection="1">
      <alignment horizontal="right"/>
    </xf>
    <xf numFmtId="167" fontId="20" fillId="14" borderId="16" xfId="0" applyNumberFormat="1" applyFont="1" applyFill="1" applyBorder="1" applyAlignment="1" applyProtection="1">
      <alignment horizontal="right"/>
    </xf>
    <xf numFmtId="167" fontId="20" fillId="14" borderId="17" xfId="0" applyNumberFormat="1" applyFont="1" applyFill="1" applyBorder="1" applyAlignment="1" applyProtection="1">
      <alignment horizontal="right"/>
    </xf>
    <xf numFmtId="0" fontId="2" fillId="8" borderId="0" xfId="0" applyFont="1" applyFill="1" applyProtection="1"/>
    <xf numFmtId="0" fontId="0" fillId="8" borderId="0" xfId="0" applyFill="1" applyProtection="1"/>
    <xf numFmtId="167" fontId="20" fillId="11" borderId="4" xfId="0" applyNumberFormat="1" applyFont="1" applyFill="1" applyBorder="1" applyAlignment="1" applyProtection="1">
      <alignment horizontal="right"/>
    </xf>
    <xf numFmtId="0" fontId="23" fillId="2" borderId="46" xfId="0" applyFont="1" applyFill="1" applyBorder="1" applyAlignment="1">
      <alignment horizontal="left" indent="1"/>
    </xf>
    <xf numFmtId="0" fontId="23" fillId="3" borderId="31" xfId="0" applyFont="1" applyFill="1" applyBorder="1" applyAlignment="1">
      <alignment horizontal="center" vertical="center"/>
    </xf>
    <xf numFmtId="164" fontId="23" fillId="2" borderId="26" xfId="0" applyNumberFormat="1" applyFont="1" applyFill="1" applyBorder="1" applyAlignment="1">
      <alignment horizontal="right" vertical="center"/>
    </xf>
    <xf numFmtId="164" fontId="23" fillId="2" borderId="25" xfId="0" applyNumberFormat="1" applyFont="1" applyFill="1" applyBorder="1" applyAlignment="1">
      <alignment horizontal="right" vertical="center"/>
    </xf>
    <xf numFmtId="164" fontId="23" fillId="2" borderId="34" xfId="0" applyNumberFormat="1" applyFont="1" applyFill="1" applyBorder="1" applyAlignment="1">
      <alignment horizontal="right" vertical="center"/>
    </xf>
    <xf numFmtId="164" fontId="22" fillId="2" borderId="21" xfId="0" applyNumberFormat="1" applyFont="1" applyFill="1" applyBorder="1" applyAlignment="1">
      <alignment horizontal="right" vertical="center"/>
    </xf>
    <xf numFmtId="0" fontId="23" fillId="2" borderId="32" xfId="0" applyFont="1" applyFill="1" applyBorder="1" applyAlignment="1">
      <alignment horizontal="left" indent="1"/>
    </xf>
    <xf numFmtId="0" fontId="23" fillId="3" borderId="15" xfId="0" applyFont="1" applyFill="1" applyBorder="1" applyAlignment="1">
      <alignment horizontal="center" vertical="center"/>
    </xf>
    <xf numFmtId="0" fontId="23" fillId="8" borderId="32" xfId="0" applyFont="1" applyFill="1" applyBorder="1" applyAlignment="1">
      <alignment horizontal="left" indent="2"/>
    </xf>
    <xf numFmtId="0" fontId="23" fillId="9" borderId="15" xfId="0" applyFont="1" applyFill="1" applyBorder="1" applyAlignment="1">
      <alignment horizontal="center" vertical="center"/>
    </xf>
    <xf numFmtId="164" fontId="23" fillId="8" borderId="7" xfId="0" applyNumberFormat="1" applyFont="1" applyFill="1" applyBorder="1" applyAlignment="1">
      <alignment horizontal="right" vertical="center"/>
    </xf>
    <xf numFmtId="164" fontId="22" fillId="8" borderId="8" xfId="0" applyNumberFormat="1" applyFont="1" applyFill="1" applyBorder="1" applyAlignment="1">
      <alignment horizontal="right" vertical="center"/>
    </xf>
    <xf numFmtId="0" fontId="23" fillId="0" borderId="32" xfId="0" applyFont="1" applyFill="1" applyBorder="1" applyAlignment="1">
      <alignment horizontal="left" indent="3"/>
    </xf>
    <xf numFmtId="0" fontId="23" fillId="0" borderId="15" xfId="0" applyFont="1" applyBorder="1" applyAlignment="1">
      <alignment horizontal="center" vertical="center"/>
    </xf>
    <xf numFmtId="164" fontId="36" fillId="10" borderId="7" xfId="0" applyNumberFormat="1" applyFont="1" applyFill="1" applyBorder="1" applyAlignment="1">
      <alignment horizontal="right" vertical="center"/>
    </xf>
    <xf numFmtId="164" fontId="36" fillId="10" borderId="4" xfId="0" applyNumberFormat="1" applyFont="1" applyFill="1" applyBorder="1" applyAlignment="1">
      <alignment horizontal="right" vertical="center"/>
    </xf>
    <xf numFmtId="164" fontId="36" fillId="10" borderId="6" xfId="0" applyNumberFormat="1" applyFont="1" applyFill="1" applyBorder="1" applyAlignment="1">
      <alignment horizontal="right" vertical="center"/>
    </xf>
    <xf numFmtId="164" fontId="23" fillId="8" borderId="8" xfId="0" applyNumberFormat="1" applyFont="1" applyFill="1" applyBorder="1" applyAlignment="1">
      <alignment horizontal="right" vertical="center"/>
    </xf>
    <xf numFmtId="164" fontId="23" fillId="12" borderId="8" xfId="0" applyNumberFormat="1" applyFont="1" applyFill="1" applyBorder="1" applyAlignment="1" applyProtection="1">
      <alignment horizontal="right" vertical="center"/>
      <protection locked="0"/>
    </xf>
    <xf numFmtId="167" fontId="23" fillId="11" borderId="7" xfId="0" applyNumberFormat="1" applyFont="1" applyFill="1" applyBorder="1" applyAlignment="1" applyProtection="1">
      <alignment horizontal="right" vertical="center"/>
      <protection locked="0"/>
    </xf>
    <xf numFmtId="164" fontId="23" fillId="2" borderId="6" xfId="0" applyNumberFormat="1" applyFont="1" applyFill="1" applyBorder="1" applyAlignment="1">
      <alignment horizontal="right" vertical="center"/>
    </xf>
    <xf numFmtId="0" fontId="23" fillId="0" borderId="32" xfId="0" applyFont="1" applyFill="1" applyBorder="1" applyAlignment="1">
      <alignment horizontal="left" indent="2"/>
    </xf>
    <xf numFmtId="0" fontId="23" fillId="15" borderId="32" xfId="0" applyFont="1" applyFill="1" applyBorder="1" applyAlignment="1">
      <alignment horizontal="left"/>
    </xf>
    <xf numFmtId="164" fontId="23" fillId="15" borderId="15" xfId="0" applyNumberFormat="1" applyFont="1" applyFill="1" applyBorder="1" applyAlignment="1">
      <alignment horizontal="center" vertical="center"/>
    </xf>
    <xf numFmtId="164" fontId="23" fillId="15" borderId="7" xfId="0" applyNumberFormat="1" applyFont="1" applyFill="1" applyBorder="1" applyAlignment="1">
      <alignment horizontal="right" vertical="center"/>
    </xf>
    <xf numFmtId="164" fontId="23" fillId="15" borderId="4" xfId="0" applyNumberFormat="1" applyFont="1" applyFill="1" applyBorder="1" applyAlignment="1">
      <alignment horizontal="right" vertical="center"/>
    </xf>
    <xf numFmtId="164" fontId="23" fillId="15" borderId="6" xfId="0" applyNumberFormat="1" applyFont="1" applyFill="1" applyBorder="1" applyAlignment="1">
      <alignment horizontal="right" vertical="center"/>
    </xf>
    <xf numFmtId="164" fontId="22" fillId="15" borderId="8" xfId="0" applyNumberFormat="1" applyFont="1" applyFill="1" applyBorder="1" applyAlignment="1">
      <alignment horizontal="right" vertical="center"/>
    </xf>
    <xf numFmtId="164" fontId="23" fillId="2" borderId="15" xfId="0" applyNumberFormat="1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left" wrapText="1" indent="2"/>
    </xf>
    <xf numFmtId="164" fontId="23" fillId="6" borderId="7" xfId="0" applyNumberFormat="1" applyFont="1" applyFill="1" applyBorder="1" applyAlignment="1" applyProtection="1">
      <alignment horizontal="right" vertical="center"/>
      <protection locked="0"/>
    </xf>
    <xf numFmtId="167" fontId="23" fillId="11" borderId="57" xfId="0" applyNumberFormat="1" applyFont="1" applyFill="1" applyBorder="1" applyAlignment="1" applyProtection="1">
      <alignment horizontal="right" vertical="center"/>
      <protection locked="0"/>
    </xf>
    <xf numFmtId="164" fontId="23" fillId="0" borderId="22" xfId="0" applyNumberFormat="1" applyFont="1" applyBorder="1" applyAlignment="1">
      <alignment horizontal="right" vertical="center"/>
    </xf>
    <xf numFmtId="0" fontId="23" fillId="5" borderId="15" xfId="0" applyFont="1" applyFill="1" applyBorder="1" applyAlignment="1">
      <alignment horizontal="center" vertical="center"/>
    </xf>
    <xf numFmtId="164" fontId="23" fillId="5" borderId="7" xfId="0" applyNumberFormat="1" applyFont="1" applyFill="1" applyBorder="1" applyAlignment="1">
      <alignment horizontal="right" vertical="center"/>
    </xf>
    <xf numFmtId="164" fontId="23" fillId="5" borderId="4" xfId="0" applyNumberFormat="1" applyFont="1" applyFill="1" applyBorder="1" applyAlignment="1">
      <alignment horizontal="right" vertical="center"/>
    </xf>
    <xf numFmtId="164" fontId="22" fillId="5" borderId="8" xfId="0" applyNumberFormat="1" applyFont="1" applyFill="1" applyBorder="1" applyAlignment="1">
      <alignment horizontal="right" vertical="center"/>
    </xf>
    <xf numFmtId="164" fontId="23" fillId="5" borderId="6" xfId="0" applyNumberFormat="1" applyFont="1" applyFill="1" applyBorder="1" applyAlignment="1">
      <alignment horizontal="right" vertical="center"/>
    </xf>
    <xf numFmtId="164" fontId="23" fillId="5" borderId="37" xfId="0" applyNumberFormat="1" applyFont="1" applyFill="1" applyBorder="1" applyAlignment="1">
      <alignment horizontal="right" vertical="center"/>
    </xf>
    <xf numFmtId="164" fontId="23" fillId="4" borderId="7" xfId="0" applyNumberFormat="1" applyFont="1" applyFill="1" applyBorder="1" applyAlignment="1">
      <alignment horizontal="right" vertical="center"/>
    </xf>
    <xf numFmtId="164" fontId="23" fillId="10" borderId="4" xfId="0" applyNumberFormat="1" applyFont="1" applyFill="1" applyBorder="1" applyAlignment="1">
      <alignment horizontal="right" vertical="center"/>
    </xf>
    <xf numFmtId="164" fontId="23" fillId="4" borderId="4" xfId="0" applyNumberFormat="1" applyFont="1" applyFill="1" applyBorder="1" applyAlignment="1">
      <alignment horizontal="right" vertical="center"/>
    </xf>
    <xf numFmtId="164" fontId="23" fillId="4" borderId="6" xfId="0" applyNumberFormat="1" applyFont="1" applyFill="1" applyBorder="1" applyAlignment="1">
      <alignment horizontal="right" vertical="center"/>
    </xf>
    <xf numFmtId="164" fontId="23" fillId="4" borderId="25" xfId="0" applyNumberFormat="1" applyFont="1" applyFill="1" applyBorder="1" applyAlignment="1">
      <alignment horizontal="right" vertical="center"/>
    </xf>
    <xf numFmtId="0" fontId="23" fillId="15" borderId="36" xfId="0" applyFont="1" applyFill="1" applyBorder="1" applyAlignment="1">
      <alignment horizontal="left"/>
    </xf>
    <xf numFmtId="164" fontId="23" fillId="15" borderId="17" xfId="0" applyNumberFormat="1" applyFont="1" applyFill="1" applyBorder="1" applyAlignment="1">
      <alignment horizontal="center"/>
    </xf>
    <xf numFmtId="164" fontId="23" fillId="15" borderId="27" xfId="0" applyNumberFormat="1" applyFont="1" applyFill="1" applyBorder="1" applyAlignment="1">
      <alignment horizontal="right" vertical="center"/>
    </xf>
    <xf numFmtId="164" fontId="23" fillId="15" borderId="16" xfId="0" applyNumberFormat="1" applyFont="1" applyFill="1" applyBorder="1" applyAlignment="1">
      <alignment horizontal="right" vertical="center"/>
    </xf>
    <xf numFmtId="164" fontId="23" fillId="15" borderId="28" xfId="0" applyNumberFormat="1" applyFont="1" applyFill="1" applyBorder="1" applyAlignment="1">
      <alignment horizontal="right" vertical="center"/>
    </xf>
    <xf numFmtId="164" fontId="22" fillId="15" borderId="20" xfId="0" applyNumberFormat="1" applyFont="1" applyFill="1" applyBorder="1" applyAlignment="1">
      <alignment horizontal="right" vertical="center"/>
    </xf>
    <xf numFmtId="0" fontId="23" fillId="2" borderId="46" xfId="0" applyFont="1" applyFill="1" applyBorder="1" applyAlignment="1">
      <alignment horizontal="left" vertical="center" indent="1"/>
    </xf>
    <xf numFmtId="167" fontId="23" fillId="2" borderId="26" xfId="0" applyNumberFormat="1" applyFont="1" applyFill="1" applyBorder="1" applyAlignment="1">
      <alignment horizontal="right" vertical="center"/>
    </xf>
    <xf numFmtId="167" fontId="23" fillId="2" borderId="25" xfId="0" applyNumberFormat="1" applyFont="1" applyFill="1" applyBorder="1" applyAlignment="1">
      <alignment horizontal="right" vertical="center"/>
    </xf>
    <xf numFmtId="167" fontId="23" fillId="2" borderId="34" xfId="0" applyNumberFormat="1" applyFont="1" applyFill="1" applyBorder="1" applyAlignment="1">
      <alignment horizontal="right" vertical="center"/>
    </xf>
    <xf numFmtId="167" fontId="22" fillId="2" borderId="21" xfId="0" applyNumberFormat="1" applyFont="1" applyFill="1" applyBorder="1" applyAlignment="1">
      <alignment horizontal="right" vertical="center"/>
    </xf>
    <xf numFmtId="0" fontId="23" fillId="2" borderId="32" xfId="0" applyFont="1" applyFill="1" applyBorder="1" applyAlignment="1">
      <alignment horizontal="left" vertical="center" indent="1"/>
    </xf>
    <xf numFmtId="167" fontId="23" fillId="2" borderId="7" xfId="0" applyNumberFormat="1" applyFont="1" applyFill="1" applyBorder="1" applyAlignment="1">
      <alignment horizontal="right" vertical="center"/>
    </xf>
    <xf numFmtId="167" fontId="23" fillId="2" borderId="4" xfId="0" applyNumberFormat="1" applyFont="1" applyFill="1" applyBorder="1" applyAlignment="1">
      <alignment horizontal="right" vertical="center"/>
    </xf>
    <xf numFmtId="167" fontId="22" fillId="2" borderId="8" xfId="0" applyNumberFormat="1" applyFont="1" applyFill="1" applyBorder="1" applyAlignment="1">
      <alignment horizontal="right" vertical="center"/>
    </xf>
    <xf numFmtId="0" fontId="23" fillId="8" borderId="32" xfId="0" applyFont="1" applyFill="1" applyBorder="1" applyAlignment="1">
      <alignment horizontal="left" vertical="center" indent="2"/>
    </xf>
    <xf numFmtId="167" fontId="23" fillId="8" borderId="7" xfId="0" applyNumberFormat="1" applyFont="1" applyFill="1" applyBorder="1" applyAlignment="1">
      <alignment horizontal="right" vertical="center"/>
    </xf>
    <xf numFmtId="167" fontId="22" fillId="8" borderId="8" xfId="0" applyNumberFormat="1" applyFont="1" applyFill="1" applyBorder="1" applyAlignment="1">
      <alignment horizontal="right" vertical="center"/>
    </xf>
    <xf numFmtId="0" fontId="23" fillId="0" borderId="32" xfId="0" applyNumberFormat="1" applyFont="1" applyFill="1" applyBorder="1" applyAlignment="1">
      <alignment horizontal="left" vertical="center" indent="3"/>
    </xf>
    <xf numFmtId="167" fontId="36" fillId="10" borderId="7" xfId="0" applyNumberFormat="1" applyFont="1" applyFill="1" applyBorder="1" applyAlignment="1">
      <alignment horizontal="right" vertical="center"/>
    </xf>
    <xf numFmtId="167" fontId="36" fillId="10" borderId="4" xfId="0" applyNumberFormat="1" applyFont="1" applyFill="1" applyBorder="1" applyAlignment="1">
      <alignment horizontal="right" vertical="center"/>
    </xf>
    <xf numFmtId="167" fontId="36" fillId="10" borderId="6" xfId="0" applyNumberFormat="1" applyFont="1" applyFill="1" applyBorder="1" applyAlignment="1">
      <alignment horizontal="right" vertical="center"/>
    </xf>
    <xf numFmtId="167" fontId="23" fillId="8" borderId="8" xfId="0" applyNumberFormat="1" applyFont="1" applyFill="1" applyBorder="1" applyAlignment="1">
      <alignment horizontal="right" vertical="center"/>
    </xf>
    <xf numFmtId="167" fontId="23" fillId="8" borderId="4" xfId="0" applyNumberFormat="1" applyFont="1" applyFill="1" applyBorder="1" applyAlignment="1">
      <alignment horizontal="right" vertical="center"/>
    </xf>
    <xf numFmtId="167" fontId="23" fillId="2" borderId="6" xfId="0" applyNumberFormat="1" applyFont="1" applyFill="1" applyBorder="1" applyAlignment="1">
      <alignment horizontal="right" vertical="center"/>
    </xf>
    <xf numFmtId="0" fontId="23" fillId="0" borderId="32" xfId="0" applyFont="1" applyFill="1" applyBorder="1" applyAlignment="1">
      <alignment horizontal="left" vertical="center" indent="2"/>
    </xf>
    <xf numFmtId="167" fontId="23" fillId="0" borderId="7" xfId="0" applyNumberFormat="1" applyFont="1" applyBorder="1" applyAlignment="1">
      <alignment horizontal="right" vertical="center"/>
    </xf>
    <xf numFmtId="167" fontId="23" fillId="0" borderId="4" xfId="0" applyNumberFormat="1" applyFont="1" applyBorder="1" applyAlignment="1">
      <alignment horizontal="right" vertical="center"/>
    </xf>
    <xf numFmtId="167" fontId="23" fillId="0" borderId="6" xfId="0" applyNumberFormat="1" applyFont="1" applyBorder="1" applyAlignment="1">
      <alignment horizontal="right" vertical="center"/>
    </xf>
    <xf numFmtId="167" fontId="23" fillId="0" borderId="8" xfId="0" applyNumberFormat="1" applyFont="1" applyBorder="1" applyAlignment="1">
      <alignment horizontal="right" vertical="center"/>
    </xf>
    <xf numFmtId="0" fontId="23" fillId="15" borderId="32" xfId="0" applyFont="1" applyFill="1" applyBorder="1" applyAlignment="1">
      <alignment horizontal="left" vertical="center"/>
    </xf>
    <xf numFmtId="0" fontId="23" fillId="0" borderId="32" xfId="0" applyFont="1" applyFill="1" applyBorder="1" applyAlignment="1">
      <alignment horizontal="left" vertical="center" wrapText="1" indent="2"/>
    </xf>
    <xf numFmtId="167" fontId="23" fillId="5" borderId="7" xfId="0" applyNumberFormat="1" applyFont="1" applyFill="1" applyBorder="1" applyAlignment="1">
      <alignment horizontal="right" vertical="center"/>
    </xf>
    <xf numFmtId="167" fontId="23" fillId="5" borderId="4" xfId="0" applyNumberFormat="1" applyFont="1" applyFill="1" applyBorder="1" applyAlignment="1">
      <alignment horizontal="right" vertical="center"/>
    </xf>
    <xf numFmtId="167" fontId="23" fillId="5" borderId="6" xfId="0" applyNumberFormat="1" applyFont="1" applyFill="1" applyBorder="1" applyAlignment="1">
      <alignment horizontal="right" vertical="center"/>
    </xf>
    <xf numFmtId="167" fontId="22" fillId="5" borderId="8" xfId="0" applyNumberFormat="1" applyFont="1" applyFill="1" applyBorder="1" applyAlignment="1">
      <alignment horizontal="right" vertical="center"/>
    </xf>
    <xf numFmtId="0" fontId="23" fillId="0" borderId="32" xfId="0" applyFont="1" applyFill="1" applyBorder="1" applyAlignment="1">
      <alignment horizontal="left" vertical="center" indent="3"/>
    </xf>
    <xf numFmtId="167" fontId="23" fillId="4" borderId="7" xfId="0" applyNumberFormat="1" applyFont="1" applyFill="1" applyBorder="1" applyAlignment="1">
      <alignment horizontal="right" vertical="center"/>
    </xf>
    <xf numFmtId="167" fontId="23" fillId="4" borderId="4" xfId="0" applyNumberFormat="1" applyFont="1" applyFill="1" applyBorder="1" applyAlignment="1">
      <alignment horizontal="right" vertical="center"/>
    </xf>
    <xf numFmtId="167" fontId="23" fillId="10" borderId="4" xfId="0" applyNumberFormat="1" applyFont="1" applyFill="1" applyBorder="1" applyAlignment="1">
      <alignment horizontal="right" vertical="center"/>
    </xf>
    <xf numFmtId="167" fontId="23" fillId="4" borderId="6" xfId="0" applyNumberFormat="1" applyFont="1" applyFill="1" applyBorder="1" applyAlignment="1">
      <alignment horizontal="right" vertical="center"/>
    </xf>
    <xf numFmtId="167" fontId="23" fillId="16" borderId="8" xfId="0" applyNumberFormat="1" applyFont="1" applyFill="1" applyBorder="1" applyAlignment="1">
      <alignment horizontal="right" vertical="center"/>
    </xf>
    <xf numFmtId="0" fontId="23" fillId="15" borderId="36" xfId="0" applyFont="1" applyFill="1" applyBorder="1" applyAlignment="1">
      <alignment horizontal="left" vertical="center"/>
    </xf>
    <xf numFmtId="164" fontId="23" fillId="15" borderId="17" xfId="0" applyNumberFormat="1" applyFont="1" applyFill="1" applyBorder="1" applyAlignment="1">
      <alignment horizontal="center" vertical="center"/>
    </xf>
    <xf numFmtId="0" fontId="2" fillId="0" borderId="27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164" fontId="3" fillId="0" borderId="14" xfId="0" applyNumberFormat="1" applyFont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164" fontId="3" fillId="0" borderId="23" xfId="0" applyNumberFormat="1" applyFont="1" applyBorder="1" applyAlignment="1" applyProtection="1">
      <alignment horizont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10" fontId="3" fillId="0" borderId="11" xfId="0" applyNumberFormat="1" applyFont="1" applyBorder="1" applyAlignment="1" applyProtection="1">
      <alignment horizontal="center" vertical="center" wrapText="1"/>
      <protection hidden="1"/>
    </xf>
    <xf numFmtId="10" fontId="3" fillId="0" borderId="9" xfId="0" applyNumberFormat="1" applyFont="1" applyBorder="1" applyAlignment="1" applyProtection="1">
      <alignment horizontal="center" vertical="center" wrapText="1"/>
      <protection hidden="1"/>
    </xf>
    <xf numFmtId="10" fontId="3" fillId="0" borderId="10" xfId="0" applyNumberFormat="1" applyFont="1" applyBorder="1" applyAlignment="1" applyProtection="1">
      <alignment horizontal="center" vertical="center" wrapText="1"/>
      <protection hidden="1"/>
    </xf>
    <xf numFmtId="10" fontId="3" fillId="0" borderId="12" xfId="0" applyNumberFormat="1" applyFont="1" applyBorder="1" applyAlignment="1" applyProtection="1">
      <alignment horizontal="center" vertical="center" wrapText="1"/>
      <protection hidden="1"/>
    </xf>
    <xf numFmtId="166" fontId="5" fillId="0" borderId="27" xfId="0" applyNumberFormat="1" applyFont="1" applyBorder="1" applyAlignment="1" applyProtection="1">
      <alignment horizontal="center" vertical="center" wrapText="1"/>
      <protection hidden="1"/>
    </xf>
    <xf numFmtId="166" fontId="5" fillId="0" borderId="16" xfId="0" applyNumberFormat="1" applyFont="1" applyBorder="1" applyAlignment="1" applyProtection="1">
      <alignment horizontal="center" vertical="center" wrapText="1"/>
      <protection hidden="1"/>
    </xf>
    <xf numFmtId="166" fontId="5" fillId="0" borderId="28" xfId="0" applyNumberFormat="1" applyFont="1" applyBorder="1" applyAlignment="1" applyProtection="1">
      <alignment horizontal="center" vertical="center" wrapText="1"/>
      <protection hidden="1"/>
    </xf>
    <xf numFmtId="14" fontId="33" fillId="0" borderId="0" xfId="0" applyNumberFormat="1" applyFont="1" applyBorder="1" applyAlignment="1">
      <alignment horizontal="center" vertical="center"/>
    </xf>
    <xf numFmtId="0" fontId="14" fillId="0" borderId="0" xfId="4"/>
    <xf numFmtId="0" fontId="38" fillId="0" borderId="0" xfId="4" applyNumberFormat="1" applyFont="1" applyBorder="1" applyAlignment="1">
      <alignment horizontal="left" wrapText="1"/>
    </xf>
    <xf numFmtId="0" fontId="22" fillId="0" borderId="23" xfId="4" applyNumberFormat="1" applyFont="1" applyBorder="1" applyAlignment="1" applyProtection="1">
      <alignment horizontal="center" vertical="center" wrapText="1"/>
      <protection hidden="1"/>
    </xf>
    <xf numFmtId="0" fontId="22" fillId="0" borderId="14" xfId="4" applyNumberFormat="1" applyFont="1" applyBorder="1" applyAlignment="1" applyProtection="1">
      <alignment horizontal="center" vertical="center" wrapText="1"/>
      <protection hidden="1"/>
    </xf>
    <xf numFmtId="0" fontId="39" fillId="0" borderId="0" xfId="0" applyFont="1" applyProtection="1">
      <protection hidden="1"/>
    </xf>
    <xf numFmtId="0" fontId="20" fillId="0" borderId="18" xfId="0" applyFont="1" applyFill="1" applyBorder="1" applyAlignment="1">
      <alignment horizontal="left" wrapText="1" indent="2"/>
    </xf>
    <xf numFmtId="164" fontId="23" fillId="0" borderId="4" xfId="4" applyNumberFormat="1" applyFont="1" applyBorder="1" applyAlignment="1">
      <alignment horizontal="left" vertical="center"/>
    </xf>
    <xf numFmtId="49" fontId="23" fillId="0" borderId="15" xfId="4" applyNumberFormat="1" applyFont="1" applyBorder="1" applyAlignment="1" applyProtection="1">
      <alignment horizontal="left" vertical="center" wrapText="1"/>
      <protection locked="0"/>
    </xf>
    <xf numFmtId="164" fontId="23" fillId="5" borderId="18" xfId="4" applyNumberFormat="1" applyFont="1" applyFill="1" applyBorder="1" applyAlignment="1">
      <alignment horizontal="left" vertical="center"/>
    </xf>
    <xf numFmtId="164" fontId="23" fillId="5" borderId="4" xfId="4" applyNumberFormat="1" applyFont="1" applyFill="1" applyBorder="1" applyAlignment="1">
      <alignment horizontal="left" vertical="center"/>
    </xf>
    <xf numFmtId="164" fontId="23" fillId="15" borderId="4" xfId="4" applyNumberFormat="1" applyFont="1" applyFill="1" applyBorder="1" applyAlignment="1">
      <alignment horizontal="left" vertical="center"/>
    </xf>
    <xf numFmtId="49" fontId="23" fillId="15" borderId="15" xfId="4" applyNumberFormat="1" applyFont="1" applyFill="1" applyBorder="1" applyAlignment="1" applyProtection="1">
      <alignment horizontal="left" vertical="center" wrapText="1"/>
      <protection locked="0"/>
    </xf>
    <xf numFmtId="164" fontId="23" fillId="5" borderId="19" xfId="4" applyNumberFormat="1" applyFont="1" applyFill="1" applyBorder="1" applyAlignment="1">
      <alignment horizontal="left" vertical="center"/>
    </xf>
    <xf numFmtId="164" fontId="23" fillId="5" borderId="16" xfId="4" applyNumberFormat="1" applyFont="1" applyFill="1" applyBorder="1" applyAlignment="1">
      <alignment horizontal="left" vertical="center"/>
    </xf>
    <xf numFmtId="49" fontId="23" fillId="5" borderId="17" xfId="4" applyNumberFormat="1" applyFont="1" applyFill="1" applyBorder="1" applyAlignment="1" applyProtection="1">
      <alignment horizontal="left" vertical="center" wrapText="1"/>
      <protection locked="0"/>
    </xf>
    <xf numFmtId="0" fontId="20" fillId="0" borderId="18" xfId="0" applyFont="1" applyFill="1" applyBorder="1" applyAlignment="1">
      <alignment horizontal="left" indent="2"/>
    </xf>
    <xf numFmtId="0" fontId="20" fillId="15" borderId="18" xfId="0" applyFont="1" applyFill="1" applyBorder="1" applyAlignment="1">
      <alignment horizontal="left" wrapText="1" indent="2"/>
    </xf>
    <xf numFmtId="0" fontId="20" fillId="15" borderId="18" xfId="0" applyFont="1" applyFill="1" applyBorder="1" applyAlignment="1">
      <alignment horizontal="left" indent="2"/>
    </xf>
    <xf numFmtId="164" fontId="23" fillId="5" borderId="54" xfId="4" applyNumberFormat="1" applyFont="1" applyFill="1" applyBorder="1" applyAlignment="1">
      <alignment horizontal="left" vertical="center"/>
    </xf>
    <xf numFmtId="164" fontId="23" fillId="5" borderId="53" xfId="4" applyNumberFormat="1" applyFont="1" applyFill="1" applyBorder="1" applyAlignment="1">
      <alignment horizontal="left" vertical="center"/>
    </xf>
    <xf numFmtId="164" fontId="23" fillId="5" borderId="42" xfId="4" applyNumberFormat="1" applyFont="1" applyFill="1" applyBorder="1" applyAlignment="1" applyProtection="1">
      <alignment horizontal="left" vertical="center"/>
      <protection locked="0"/>
    </xf>
    <xf numFmtId="164" fontId="23" fillId="15" borderId="15" xfId="4" applyNumberFormat="1" applyFont="1" applyFill="1" applyBorder="1" applyAlignment="1" applyProtection="1">
      <alignment horizontal="left" vertical="center"/>
      <protection locked="0"/>
    </xf>
    <xf numFmtId="164" fontId="23" fillId="5" borderId="15" xfId="4" applyNumberFormat="1" applyFont="1" applyFill="1" applyBorder="1" applyAlignment="1" applyProtection="1">
      <alignment horizontal="left" vertical="center"/>
      <protection locked="0"/>
    </xf>
    <xf numFmtId="164" fontId="23" fillId="18" borderId="8" xfId="0" applyNumberFormat="1" applyFont="1" applyFill="1" applyBorder="1" applyAlignment="1" applyProtection="1">
      <alignment horizontal="right" vertical="center"/>
      <protection locked="0"/>
    </xf>
    <xf numFmtId="164" fontId="23" fillId="18" borderId="21" xfId="0" applyNumberFormat="1" applyFont="1" applyFill="1" applyBorder="1" applyAlignment="1" applyProtection="1">
      <alignment horizontal="right" vertical="center"/>
      <protection locked="0"/>
    </xf>
    <xf numFmtId="0" fontId="3" fillId="0" borderId="51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164" fontId="3" fillId="0" borderId="54" xfId="0" applyNumberFormat="1" applyFont="1" applyBorder="1" applyAlignment="1" applyProtection="1">
      <alignment horizontal="center" vertical="center"/>
      <protection hidden="1"/>
    </xf>
    <xf numFmtId="0" fontId="3" fillId="0" borderId="53" xfId="0" applyFont="1" applyBorder="1" applyAlignment="1" applyProtection="1">
      <alignment horizontal="center" vertical="center"/>
      <protection hidden="1"/>
    </xf>
    <xf numFmtId="0" fontId="3" fillId="0" borderId="42" xfId="0" applyFont="1" applyBorder="1" applyAlignment="1" applyProtection="1">
      <alignment horizontal="center" vertical="center"/>
      <protection hidden="1"/>
    </xf>
    <xf numFmtId="0" fontId="3" fillId="0" borderId="52" xfId="0" applyFont="1" applyBorder="1" applyAlignment="1" applyProtection="1">
      <alignment horizontal="center" vertical="center"/>
      <protection hidden="1"/>
    </xf>
    <xf numFmtId="0" fontId="3" fillId="0" borderId="43" xfId="0" applyFont="1" applyBorder="1" applyAlignment="1" applyProtection="1">
      <alignment horizontal="center" vertical="center"/>
      <protection hidden="1"/>
    </xf>
    <xf numFmtId="0" fontId="3" fillId="0" borderId="54" xfId="0" applyFont="1" applyBorder="1" applyAlignment="1" applyProtection="1">
      <alignment horizontal="center" vertical="center"/>
      <protection hidden="1"/>
    </xf>
    <xf numFmtId="0" fontId="3" fillId="9" borderId="44" xfId="0" applyFont="1" applyFill="1" applyBorder="1" applyAlignment="1">
      <alignment horizontal="center" vertical="center"/>
    </xf>
    <xf numFmtId="0" fontId="3" fillId="9" borderId="36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3" fillId="9" borderId="28" xfId="0" applyFont="1" applyFill="1" applyBorder="1" applyAlignment="1">
      <alignment horizontal="center" vertical="center"/>
    </xf>
    <xf numFmtId="0" fontId="3" fillId="8" borderId="54" xfId="0" applyFont="1" applyFill="1" applyBorder="1" applyAlignment="1" applyProtection="1">
      <alignment horizontal="center" vertical="center"/>
      <protection hidden="1"/>
    </xf>
    <xf numFmtId="0" fontId="3" fillId="8" borderId="53" xfId="0" applyFont="1" applyFill="1" applyBorder="1" applyAlignment="1" applyProtection="1">
      <alignment horizontal="center" vertical="center"/>
      <protection hidden="1"/>
    </xf>
    <xf numFmtId="0" fontId="3" fillId="8" borderId="42" xfId="0" applyFont="1" applyFill="1" applyBorder="1" applyAlignment="1" applyProtection="1">
      <alignment horizontal="center" vertical="center"/>
      <protection hidden="1"/>
    </xf>
    <xf numFmtId="0" fontId="3" fillId="0" borderId="4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left"/>
    </xf>
    <xf numFmtId="164" fontId="3" fillId="0" borderId="55" xfId="0" applyNumberFormat="1" applyFont="1" applyBorder="1" applyAlignment="1" applyProtection="1">
      <alignment horizontal="center" vertical="center"/>
      <protection hidden="1"/>
    </xf>
    <xf numFmtId="164" fontId="3" fillId="0" borderId="24" xfId="0" applyNumberFormat="1" applyFont="1" applyBorder="1" applyAlignment="1" applyProtection="1">
      <alignment horizontal="center" vertical="center"/>
      <protection hidden="1"/>
    </xf>
    <xf numFmtId="0" fontId="12" fillId="0" borderId="52" xfId="0" applyNumberFormat="1" applyFont="1" applyBorder="1" applyAlignment="1" applyProtection="1">
      <alignment horizontal="center" vertical="center" wrapText="1"/>
      <protection hidden="1"/>
    </xf>
    <xf numFmtId="0" fontId="12" fillId="0" borderId="53" xfId="0" applyNumberFormat="1" applyFont="1" applyBorder="1" applyAlignment="1" applyProtection="1">
      <alignment horizontal="center" vertical="center" wrapText="1"/>
      <protection hidden="1"/>
    </xf>
    <xf numFmtId="0" fontId="12" fillId="0" borderId="43" xfId="0" applyNumberFormat="1" applyFont="1" applyBorder="1" applyAlignment="1" applyProtection="1">
      <alignment horizontal="center" vertical="center" wrapText="1"/>
      <protection hidden="1"/>
    </xf>
    <xf numFmtId="0" fontId="12" fillId="0" borderId="55" xfId="0" applyNumberFormat="1" applyFont="1" applyBorder="1" applyAlignment="1" applyProtection="1">
      <alignment horizontal="center" vertical="center" wrapText="1"/>
      <protection hidden="1"/>
    </xf>
    <xf numFmtId="0" fontId="12" fillId="0" borderId="24" xfId="0" applyNumberFormat="1" applyFont="1" applyBorder="1" applyAlignment="1" applyProtection="1">
      <alignment horizontal="center" vertical="center" wrapText="1"/>
      <protection hidden="1"/>
    </xf>
    <xf numFmtId="0" fontId="22" fillId="0" borderId="44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  <xf numFmtId="0" fontId="22" fillId="0" borderId="42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7" fillId="0" borderId="0" xfId="4" applyNumberFormat="1" applyFont="1" applyAlignment="1">
      <alignment horizontal="center"/>
    </xf>
  </cellXfs>
  <cellStyles count="5">
    <cellStyle name="Обычный" xfId="0" builtinId="0"/>
    <cellStyle name="Обычный 2" xfId="1"/>
    <cellStyle name="Обычный_4. Комментарии" xfId="4"/>
    <cellStyle name="Пояснение" xfId="2" builtinId="53" customBuiltin="1"/>
    <cellStyle name="Финансовый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5C"/>
      <rgbColor rgb="00808000"/>
      <rgbColor rgb="00800080"/>
      <rgbColor rgb="00008080"/>
      <rgbColor rgb="00BFBFC0"/>
      <rgbColor rgb="00808080"/>
      <rgbColor rgb="008EB4E3"/>
      <rgbColor rgb="00993366"/>
      <rgbColor rgb="00EBF1DE"/>
      <rgbColor rgb="00DCE6F2"/>
      <rgbColor rgb="00660066"/>
      <rgbColor rgb="00FF8080"/>
      <rgbColor rgb="000066CC"/>
      <rgbColor rgb="00B9CDE5"/>
      <rgbColor rgb="00000080"/>
      <rgbColor rgb="00FF00FF"/>
      <rgbColor rgb="00D9D416"/>
      <rgbColor rgb="0000FFFF"/>
      <rgbColor rgb="00800080"/>
      <rgbColor rgb="00800000"/>
      <rgbColor rgb="00008080"/>
      <rgbColor rgb="000000FF"/>
      <rgbColor rgb="0000B0F0"/>
      <rgbColor rgb="00DFDFE0"/>
      <rgbColor rgb="00CBE4E5"/>
      <rgbColor rgb="00F2DCDB"/>
      <rgbColor rgb="0093CDDD"/>
      <rgbColor rgb="00B7DEE8"/>
      <rgbColor rgb="00ACC8BD"/>
      <rgbColor rgb="00FCD5B5"/>
      <rgbColor rgb="003366FF"/>
      <rgbColor rgb="0033CCCC"/>
      <rgbColor rgb="0092D050"/>
      <rgbColor rgb="00FFC000"/>
      <rgbColor rgb="00FF9900"/>
      <rgbColor rgb="00E46C0A"/>
      <rgbColor rgb="00666699"/>
      <rgbColor rgb="00A0A0A0"/>
      <rgbColor rgb="00003366"/>
      <rgbColor rgb="0000B050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889000</xdr:colOff>
      <xdr:row>8</xdr:row>
      <xdr:rowOff>0</xdr:rowOff>
    </xdr:to>
    <xdr:sp macro="" textlink="">
      <xdr:nvSpPr>
        <xdr:cNvPr id="7266" name="shapetype_202" hidden="1">
          <a:extLst>
            <a:ext uri="{FF2B5EF4-FFF2-40B4-BE49-F238E27FC236}">
              <a16:creationId xmlns:a16="http://schemas.microsoft.com/office/drawing/2014/main" xmlns="" id="{BE01789B-5E59-4BA5-9EC4-14FDCC09C3D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8978900" cy="2203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L453"/>
  <sheetViews>
    <sheetView showGridLines="0" zoomScaleNormal="100" workbookViewId="0">
      <pane xSplit="2" topLeftCell="C1" activePane="topRight" state="frozen"/>
      <selection pane="topRight" activeCell="C10" sqref="C10:H12"/>
    </sheetView>
  </sheetViews>
  <sheetFormatPr defaultColWidth="8.5703125" defaultRowHeight="15" x14ac:dyDescent="0.25"/>
  <cols>
    <col min="1" max="1" width="46.7109375" customWidth="1"/>
    <col min="2" max="2" width="16.28515625" style="18" customWidth="1"/>
    <col min="3" max="37" width="13.28515625" customWidth="1"/>
    <col min="38" max="39" width="10.7109375" customWidth="1"/>
    <col min="40" max="40" width="11.28515625" customWidth="1"/>
    <col min="41" max="41" width="10.7109375" customWidth="1"/>
    <col min="42" max="42" width="10.42578125" customWidth="1"/>
    <col min="43" max="43" width="8.7109375" customWidth="1"/>
    <col min="44" max="44" width="10.28515625" customWidth="1"/>
    <col min="45" max="45" width="8.5703125" customWidth="1"/>
    <col min="46" max="46" width="8.7109375" customWidth="1"/>
    <col min="47" max="49" width="8.5703125" customWidth="1"/>
    <col min="50" max="52" width="8.7109375" customWidth="1"/>
  </cols>
  <sheetData>
    <row r="1" spans="1:12" x14ac:dyDescent="0.25">
      <c r="A1" s="15"/>
      <c r="B1" s="21" t="s">
        <v>10</v>
      </c>
      <c r="C1" s="19"/>
      <c r="D1" s="19"/>
      <c r="E1" s="19"/>
      <c r="F1" s="19"/>
      <c r="G1" s="5"/>
      <c r="H1" s="5"/>
      <c r="I1" s="4"/>
      <c r="J1" s="4"/>
      <c r="K1" s="31"/>
    </row>
    <row r="2" spans="1:12" ht="30" x14ac:dyDescent="0.25">
      <c r="A2" s="22" t="s">
        <v>11</v>
      </c>
      <c r="B2" s="130"/>
      <c r="C2" s="20"/>
      <c r="D2" s="4"/>
      <c r="E2" s="4"/>
      <c r="F2" s="4"/>
    </row>
    <row r="3" spans="1:12" ht="30" x14ac:dyDescent="0.25">
      <c r="A3" s="22" t="s">
        <v>12</v>
      </c>
      <c r="B3" s="131"/>
      <c r="C3" s="20"/>
      <c r="D3" s="20"/>
      <c r="E3" s="20"/>
      <c r="F3" s="20"/>
      <c r="G3" s="4"/>
      <c r="H3" s="4"/>
      <c r="I3" s="4"/>
    </row>
    <row r="4" spans="1:12" ht="30" x14ac:dyDescent="0.25">
      <c r="A4" s="89" t="s">
        <v>14</v>
      </c>
      <c r="B4" s="132"/>
      <c r="C4" s="20"/>
      <c r="D4" s="20"/>
      <c r="E4" s="20"/>
      <c r="F4" s="20"/>
      <c r="G4" s="4"/>
      <c r="H4" s="4"/>
      <c r="I4" s="4"/>
    </row>
    <row r="5" spans="1:12" x14ac:dyDescent="0.25">
      <c r="A5" s="35"/>
      <c r="B5" s="133"/>
      <c r="C5" s="20"/>
      <c r="D5" s="20"/>
      <c r="E5" s="20"/>
      <c r="F5" s="20"/>
      <c r="G5" s="4"/>
      <c r="H5" s="4"/>
      <c r="I5" s="4"/>
    </row>
    <row r="6" spans="1:12" x14ac:dyDescent="0.25">
      <c r="A6" s="143" t="s">
        <v>114</v>
      </c>
      <c r="B6" s="7"/>
      <c r="C6" s="4"/>
      <c r="D6" s="1"/>
      <c r="E6" s="4"/>
      <c r="F6" s="1"/>
      <c r="G6" s="4"/>
      <c r="H6" s="1"/>
      <c r="I6" s="4"/>
    </row>
    <row r="7" spans="1:12" ht="15.75" thickBot="1" x14ac:dyDescent="0.3">
      <c r="A7" s="144" t="s">
        <v>128</v>
      </c>
      <c r="B7" s="17"/>
      <c r="C7" s="4"/>
      <c r="D7" s="4"/>
      <c r="E7" s="4"/>
      <c r="F7" s="4"/>
      <c r="G7" s="4"/>
      <c r="H7" s="4"/>
      <c r="I7" s="4"/>
    </row>
    <row r="8" spans="1:12" ht="15.75" thickBot="1" x14ac:dyDescent="0.3">
      <c r="A8" s="117" t="s">
        <v>13</v>
      </c>
      <c r="B8" s="43" t="s">
        <v>36</v>
      </c>
      <c r="C8" s="425" t="str">
        <f>(YEAR(Test_date)-3)&amp;" год"</f>
        <v>2016 год</v>
      </c>
      <c r="D8" s="423" t="str">
        <f>(LEFT(C8,4)+1)&amp;" год"</f>
        <v>2017 год</v>
      </c>
      <c r="E8" s="424" t="str">
        <f>(LEFT(D8,4)+1)&amp;" год"</f>
        <v>2018 год</v>
      </c>
      <c r="F8" s="422" t="str">
        <f>(LEFT(E8,4)+1)&amp;" год"</f>
        <v>2019 год</v>
      </c>
      <c r="G8" s="423" t="str">
        <f>(LEFT(F8,4)+1)&amp;" год"</f>
        <v>2020 год</v>
      </c>
      <c r="H8" s="424" t="str">
        <f>(LEFT(G8,4)+1)&amp;" год"</f>
        <v>2021 год</v>
      </c>
      <c r="I8" s="4"/>
    </row>
    <row r="9" spans="1:12" x14ac:dyDescent="0.25">
      <c r="A9" s="118" t="s">
        <v>104</v>
      </c>
      <c r="B9" s="119" t="s">
        <v>106</v>
      </c>
      <c r="C9" s="87">
        <f t="shared" ref="C9:H9" si="0">SUM(C10:C12)</f>
        <v>87.364000000000004</v>
      </c>
      <c r="D9" s="98">
        <f t="shared" si="0"/>
        <v>84.99499999999999</v>
      </c>
      <c r="E9" s="97">
        <f t="shared" si="0"/>
        <v>85.036000000000001</v>
      </c>
      <c r="F9" s="101">
        <f t="shared" si="0"/>
        <v>85.15</v>
      </c>
      <c r="G9" s="98">
        <f>SUM(G10:G12)</f>
        <v>85.15</v>
      </c>
      <c r="H9" s="97">
        <f t="shared" si="0"/>
        <v>85.28</v>
      </c>
      <c r="I9" s="63"/>
    </row>
    <row r="10" spans="1:12" x14ac:dyDescent="0.25">
      <c r="A10" s="138" t="s">
        <v>89</v>
      </c>
      <c r="B10" s="134" t="s">
        <v>106</v>
      </c>
      <c r="C10" s="76">
        <v>0.68300000000000005</v>
      </c>
      <c r="D10" s="99">
        <v>0.38500000000000001</v>
      </c>
      <c r="E10" s="90">
        <v>0.30599999999999999</v>
      </c>
      <c r="F10" s="102">
        <v>0.246</v>
      </c>
      <c r="G10" s="104">
        <f t="shared" ref="G10:H10" si="1">F10</f>
        <v>0.246</v>
      </c>
      <c r="H10" s="65">
        <f t="shared" si="1"/>
        <v>0.246</v>
      </c>
      <c r="I10" s="63"/>
    </row>
    <row r="11" spans="1:12" x14ac:dyDescent="0.25">
      <c r="A11" s="138" t="s">
        <v>90</v>
      </c>
      <c r="B11" s="134" t="s">
        <v>106</v>
      </c>
      <c r="C11" s="76">
        <v>12.916</v>
      </c>
      <c r="D11" s="99">
        <v>12.51</v>
      </c>
      <c r="E11" s="90">
        <v>12.58</v>
      </c>
      <c r="F11" s="102">
        <v>12.754</v>
      </c>
      <c r="G11" s="104">
        <f t="shared" ref="G11" si="2">F11</f>
        <v>12.754</v>
      </c>
      <c r="H11" s="65">
        <v>12.884</v>
      </c>
      <c r="I11" s="63"/>
    </row>
    <row r="12" spans="1:12" ht="15.75" thickBot="1" x14ac:dyDescent="0.3">
      <c r="A12" s="139" t="s">
        <v>91</v>
      </c>
      <c r="B12" s="135" t="s">
        <v>106</v>
      </c>
      <c r="C12" s="88">
        <v>73.765000000000001</v>
      </c>
      <c r="D12" s="100">
        <v>72.099999999999994</v>
      </c>
      <c r="E12" s="92">
        <v>72.150000000000006</v>
      </c>
      <c r="F12" s="103">
        <f t="shared" ref="F12" si="3">E12</f>
        <v>72.150000000000006</v>
      </c>
      <c r="G12" s="105">
        <f t="shared" ref="G12:H12" si="4">F12</f>
        <v>72.150000000000006</v>
      </c>
      <c r="H12" s="86">
        <f t="shared" si="4"/>
        <v>72.150000000000006</v>
      </c>
      <c r="I12" s="63"/>
    </row>
    <row r="13" spans="1:12" x14ac:dyDescent="0.25">
      <c r="A13" s="74"/>
      <c r="B13" s="68"/>
      <c r="C13" s="309"/>
      <c r="D13" s="309"/>
      <c r="E13" s="309"/>
      <c r="F13" s="310"/>
      <c r="G13" s="310"/>
      <c r="H13" s="310"/>
      <c r="I13" s="63"/>
    </row>
    <row r="14" spans="1:12" x14ac:dyDescent="0.25">
      <c r="A14" s="143" t="s">
        <v>107</v>
      </c>
      <c r="B14" s="7"/>
      <c r="C14" s="50"/>
      <c r="D14" s="83"/>
      <c r="E14" s="50"/>
      <c r="F14" s="83"/>
      <c r="G14" s="50"/>
      <c r="H14" s="83"/>
      <c r="I14" s="4"/>
    </row>
    <row r="15" spans="1:12" ht="15.75" thickBot="1" x14ac:dyDescent="0.3">
      <c r="A15" s="144" t="s">
        <v>128</v>
      </c>
      <c r="B15" s="17"/>
      <c r="C15" s="4"/>
      <c r="D15" s="4"/>
      <c r="E15" s="4"/>
      <c r="F15" s="4"/>
      <c r="G15" s="4"/>
      <c r="H15" s="4"/>
      <c r="I15" s="4"/>
    </row>
    <row r="16" spans="1:12" ht="15.75" thickBot="1" x14ac:dyDescent="0.3">
      <c r="A16" s="117" t="s">
        <v>13</v>
      </c>
      <c r="B16" s="156" t="s">
        <v>36</v>
      </c>
      <c r="C16" s="425" t="str">
        <f>(YEAR(Test_date)-3)&amp;" год"</f>
        <v>2016 год</v>
      </c>
      <c r="D16" s="423" t="str">
        <f>(LEFT(C16,4)+1)&amp;" год"</f>
        <v>2017 год</v>
      </c>
      <c r="E16" s="424" t="str">
        <f>(LEFT(D16,4)+1)&amp;" год"</f>
        <v>2018 год</v>
      </c>
      <c r="F16" s="313"/>
      <c r="G16" s="313"/>
      <c r="H16" s="313"/>
      <c r="I16" s="314"/>
      <c r="J16" s="312"/>
      <c r="K16" s="312"/>
      <c r="L16" s="312"/>
    </row>
    <row r="17" spans="1:49" x14ac:dyDescent="0.25">
      <c r="A17" s="118" t="s">
        <v>105</v>
      </c>
      <c r="B17" s="145" t="s">
        <v>118</v>
      </c>
      <c r="C17" s="286">
        <f t="shared" ref="C17:D17" si="5">SUM(C18:C20)</f>
        <v>173.02499999999998</v>
      </c>
      <c r="D17" s="154">
        <f t="shared" si="5"/>
        <v>175.3</v>
      </c>
      <c r="E17" s="155">
        <f>SUM(E18:E20)</f>
        <v>176.25300000000001</v>
      </c>
      <c r="F17" s="315"/>
      <c r="G17" s="315"/>
      <c r="H17" s="315"/>
      <c r="I17" s="311"/>
      <c r="J17" s="312"/>
      <c r="K17" s="312"/>
      <c r="L17" s="312"/>
    </row>
    <row r="18" spans="1:49" x14ac:dyDescent="0.25">
      <c r="A18" s="138" t="s">
        <v>115</v>
      </c>
      <c r="B18" s="120" t="s">
        <v>118</v>
      </c>
      <c r="C18" s="64">
        <v>0.79</v>
      </c>
      <c r="D18" s="79">
        <v>0.57399999999999995</v>
      </c>
      <c r="E18" s="90">
        <v>0.371</v>
      </c>
      <c r="F18" s="310"/>
      <c r="G18" s="310"/>
      <c r="H18" s="310"/>
      <c r="I18" s="311"/>
      <c r="J18" s="312"/>
      <c r="K18" s="312"/>
      <c r="L18" s="312"/>
    </row>
    <row r="19" spans="1:49" x14ac:dyDescent="0.25">
      <c r="A19" s="138" t="s">
        <v>116</v>
      </c>
      <c r="B19" s="120" t="s">
        <v>118</v>
      </c>
      <c r="C19" s="64">
        <v>32.993000000000002</v>
      </c>
      <c r="D19" s="79">
        <v>36.098999999999997</v>
      </c>
      <c r="E19" s="90">
        <v>37.064999999999998</v>
      </c>
      <c r="F19" s="310"/>
      <c r="G19" s="310"/>
      <c r="H19" s="310"/>
      <c r="I19" s="311"/>
      <c r="J19" s="312"/>
      <c r="K19" s="312"/>
      <c r="L19" s="312"/>
    </row>
    <row r="20" spans="1:49" ht="15.75" thickBot="1" x14ac:dyDescent="0.3">
      <c r="A20" s="139" t="s">
        <v>117</v>
      </c>
      <c r="B20" s="121" t="s">
        <v>118</v>
      </c>
      <c r="C20" s="78">
        <v>139.24199999999999</v>
      </c>
      <c r="D20" s="91">
        <v>138.62700000000001</v>
      </c>
      <c r="E20" s="92">
        <v>138.81700000000001</v>
      </c>
      <c r="F20" s="310"/>
      <c r="G20" s="310"/>
      <c r="H20" s="310"/>
      <c r="I20" s="311"/>
      <c r="J20" s="312"/>
      <c r="K20" s="312"/>
      <c r="L20" s="312"/>
    </row>
    <row r="21" spans="1:49" x14ac:dyDescent="0.25">
      <c r="A21" s="74"/>
      <c r="B21" s="68"/>
      <c r="C21" s="309"/>
      <c r="D21" s="309"/>
      <c r="E21" s="309"/>
      <c r="F21" s="310"/>
      <c r="G21" s="310"/>
      <c r="H21" s="310"/>
      <c r="I21" s="311"/>
      <c r="J21" s="312"/>
      <c r="K21" s="312"/>
      <c r="L21" s="312"/>
    </row>
    <row r="22" spans="1:49" x14ac:dyDescent="0.25">
      <c r="A22" s="143" t="s">
        <v>112</v>
      </c>
      <c r="B22" s="68"/>
      <c r="C22" s="69"/>
      <c r="D22" s="69"/>
      <c r="E22" s="69"/>
      <c r="F22" s="316"/>
      <c r="G22" s="316"/>
      <c r="H22" s="316"/>
      <c r="I22" s="316"/>
      <c r="J22" s="316"/>
      <c r="K22" s="316"/>
      <c r="L22" s="316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3"/>
    </row>
    <row r="23" spans="1:49" ht="15.75" thickBot="1" x14ac:dyDescent="0.3">
      <c r="A23" s="144" t="s">
        <v>142</v>
      </c>
      <c r="B23" s="70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</row>
    <row r="24" spans="1:49" ht="15.75" thickBot="1" x14ac:dyDescent="0.3">
      <c r="A24" s="106" t="s">
        <v>13</v>
      </c>
      <c r="B24" s="125" t="s">
        <v>36</v>
      </c>
      <c r="C24" s="422" t="str">
        <f>YEAR(Test_date)&amp;" год"</f>
        <v>2019 год</v>
      </c>
      <c r="D24" s="423" t="str">
        <f>(LEFT(C24,4)+1)&amp;" год"</f>
        <v>2020 год</v>
      </c>
      <c r="E24" s="424" t="str">
        <f>(LEFT(D24,4)+1)&amp;" год"</f>
        <v>2021 год</v>
      </c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</row>
    <row r="25" spans="1:49" x14ac:dyDescent="0.25">
      <c r="A25" s="122" t="s">
        <v>92</v>
      </c>
      <c r="B25" s="126" t="s">
        <v>143</v>
      </c>
      <c r="C25" s="287">
        <f>IFERROR(((C18+D18+E18)/(C10+D10+E10))*1000,0)</f>
        <v>1262.7365356622997</v>
      </c>
      <c r="D25" s="288">
        <f>C25</f>
        <v>1262.7365356622997</v>
      </c>
      <c r="E25" s="289">
        <f t="shared" ref="D25:E27" si="6">D25</f>
        <v>1262.7365356622997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4"/>
    </row>
    <row r="26" spans="1:49" x14ac:dyDescent="0.25">
      <c r="A26" s="123" t="s">
        <v>93</v>
      </c>
      <c r="B26" s="120" t="s">
        <v>143</v>
      </c>
      <c r="C26" s="290">
        <f>IFERROR(((C19+D19+E19)/(C11+D11+E11))*1000,0)</f>
        <v>2793.1642372257011</v>
      </c>
      <c r="D26" s="291">
        <f t="shared" si="6"/>
        <v>2793.1642372257011</v>
      </c>
      <c r="E26" s="292">
        <f t="shared" si="6"/>
        <v>2793.1642372257011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4"/>
    </row>
    <row r="27" spans="1:49" ht="15.75" thickBot="1" x14ac:dyDescent="0.3">
      <c r="A27" s="124" t="s">
        <v>94</v>
      </c>
      <c r="B27" s="127" t="s">
        <v>143</v>
      </c>
      <c r="C27" s="293">
        <f>IFERROR(((C20+D20+E20)/(C12+D12+E12))*1000,0)</f>
        <v>1911.2721601724652</v>
      </c>
      <c r="D27" s="294">
        <f t="shared" si="6"/>
        <v>1911.2721601724652</v>
      </c>
      <c r="E27" s="295">
        <f t="shared" si="6"/>
        <v>1911.2721601724652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4"/>
    </row>
    <row r="28" spans="1:49" x14ac:dyDescent="0.25">
      <c r="A28" s="80"/>
      <c r="B28" s="81"/>
      <c r="C28" s="82"/>
      <c r="D28" s="82"/>
      <c r="E28" s="8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4"/>
    </row>
    <row r="29" spans="1:49" x14ac:dyDescent="0.25">
      <c r="A29" s="143" t="s">
        <v>108</v>
      </c>
      <c r="B29" s="17"/>
      <c r="C29" s="4"/>
      <c r="D29" s="4"/>
      <c r="E29" s="4"/>
      <c r="F29" s="4"/>
      <c r="G29" s="4"/>
      <c r="H29" s="4"/>
      <c r="I29" s="4"/>
    </row>
    <row r="30" spans="1:49" x14ac:dyDescent="0.25">
      <c r="A30" s="144" t="s">
        <v>131</v>
      </c>
      <c r="B30" s="17"/>
      <c r="C30" s="4"/>
      <c r="D30" s="4"/>
      <c r="E30" s="4"/>
      <c r="F30" s="4"/>
      <c r="G30" s="4"/>
      <c r="H30" s="4"/>
      <c r="I30" s="4"/>
    </row>
    <row r="31" spans="1:49" ht="15.75" thickBot="1" x14ac:dyDescent="0.3">
      <c r="A31" s="144" t="s">
        <v>132</v>
      </c>
      <c r="B31" s="17"/>
      <c r="C31" s="4"/>
      <c r="D31" s="4"/>
      <c r="E31" s="4"/>
      <c r="F31" s="4"/>
      <c r="G31" s="4"/>
      <c r="H31" s="4"/>
      <c r="I31" s="4"/>
    </row>
    <row r="32" spans="1:49" ht="15.75" thickBot="1" x14ac:dyDescent="0.3">
      <c r="A32" s="117" t="s">
        <v>13</v>
      </c>
      <c r="B32" s="43" t="s">
        <v>36</v>
      </c>
      <c r="C32" s="416" t="str">
        <f>YEAR(Test_date)&amp;" год"</f>
        <v>2019 год</v>
      </c>
      <c r="D32" s="417" t="s">
        <v>0</v>
      </c>
      <c r="E32" s="418" t="s">
        <v>1</v>
      </c>
      <c r="F32" s="418" t="s">
        <v>2</v>
      </c>
      <c r="G32" s="419" t="s">
        <v>3</v>
      </c>
      <c r="H32" s="420" t="str">
        <f>(LEFT(C32,4)+1)&amp;" год"</f>
        <v>2020 год</v>
      </c>
      <c r="I32" s="417" t="s">
        <v>0</v>
      </c>
      <c r="J32" s="418" t="s">
        <v>1</v>
      </c>
      <c r="K32" s="418" t="s">
        <v>2</v>
      </c>
      <c r="L32" s="419" t="s">
        <v>3</v>
      </c>
      <c r="M32" s="420" t="str">
        <f>(LEFT(H32,4)+1)&amp;" год"</f>
        <v>2021 год</v>
      </c>
      <c r="N32" s="417" t="s">
        <v>0</v>
      </c>
      <c r="O32" s="418" t="s">
        <v>1</v>
      </c>
      <c r="P32" s="419" t="s">
        <v>2</v>
      </c>
      <c r="Q32" s="421" t="s">
        <v>3</v>
      </c>
    </row>
    <row r="33" spans="1:52" ht="15.75" thickBot="1" x14ac:dyDescent="0.3">
      <c r="A33" s="259" t="s">
        <v>134</v>
      </c>
      <c r="B33" s="260"/>
      <c r="C33" s="260"/>
      <c r="D33" s="261"/>
      <c r="E33" s="261"/>
      <c r="F33" s="261"/>
      <c r="G33" s="261"/>
      <c r="H33" s="262"/>
      <c r="I33" s="261"/>
      <c r="J33" s="261"/>
      <c r="K33" s="261"/>
      <c r="L33" s="261"/>
      <c r="M33" s="262"/>
      <c r="N33" s="261"/>
      <c r="O33" s="261"/>
      <c r="P33" s="261"/>
      <c r="Q33" s="263"/>
    </row>
    <row r="34" spans="1:52" ht="15.75" thickBot="1" x14ac:dyDescent="0.3">
      <c r="A34" s="264" t="s">
        <v>133</v>
      </c>
      <c r="B34" s="128" t="s">
        <v>118</v>
      </c>
      <c r="C34" s="42">
        <f>SUM(D34:G34)</f>
        <v>0</v>
      </c>
      <c r="D34" s="297">
        <v>0</v>
      </c>
      <c r="E34" s="297">
        <v>0</v>
      </c>
      <c r="F34" s="297">
        <v>0</v>
      </c>
      <c r="G34" s="297">
        <v>0</v>
      </c>
      <c r="H34" s="265">
        <f>SUM(I34:L34)</f>
        <v>0</v>
      </c>
      <c r="I34" s="297">
        <v>0</v>
      </c>
      <c r="J34" s="297">
        <v>0</v>
      </c>
      <c r="K34" s="297">
        <v>0</v>
      </c>
      <c r="L34" s="297">
        <v>0</v>
      </c>
      <c r="M34" s="265">
        <f>SUM(N34:Q34)</f>
        <v>0</v>
      </c>
      <c r="N34" s="297">
        <v>0</v>
      </c>
      <c r="O34" s="297">
        <v>0</v>
      </c>
      <c r="P34" s="297">
        <v>0</v>
      </c>
      <c r="Q34" s="298">
        <v>0</v>
      </c>
    </row>
    <row r="35" spans="1:52" s="9" customFormat="1" x14ac:dyDescent="0.25">
      <c r="A35" s="23"/>
      <c r="B35" s="24"/>
      <c r="C35" s="25"/>
      <c r="D35" s="26"/>
      <c r="E35" s="26"/>
      <c r="F35" s="26"/>
      <c r="G35" s="26"/>
      <c r="H35" s="25"/>
      <c r="I35" s="26"/>
      <c r="J35" s="26"/>
      <c r="K35" s="26"/>
      <c r="L35" s="26"/>
      <c r="M35" s="25"/>
      <c r="N35" s="26"/>
      <c r="O35" s="26"/>
      <c r="P35" s="26"/>
      <c r="Q35" s="26"/>
      <c r="R35" s="27"/>
      <c r="S35" s="27"/>
      <c r="T35" s="27"/>
      <c r="U35" s="27"/>
      <c r="V35" s="27"/>
      <c r="W35" s="27"/>
      <c r="X35" s="27"/>
      <c r="Y35" s="27"/>
      <c r="Z35" s="27"/>
      <c r="AA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Z35"/>
    </row>
    <row r="36" spans="1:52" s="9" customFormat="1" x14ac:dyDescent="0.25">
      <c r="A36" s="143" t="s">
        <v>109</v>
      </c>
      <c r="B36" s="24"/>
      <c r="C36" s="25"/>
      <c r="D36" s="26"/>
      <c r="E36" s="26"/>
      <c r="F36" s="26"/>
      <c r="G36" s="26"/>
      <c r="H36" s="25"/>
      <c r="I36" s="26"/>
      <c r="J36" s="26"/>
      <c r="K36" s="26"/>
      <c r="L36" s="26"/>
      <c r="M36" s="25"/>
      <c r="N36" s="26"/>
      <c r="O36" s="26"/>
      <c r="P36" s="26"/>
      <c r="Q36" s="26"/>
      <c r="R36" s="27"/>
      <c r="S36" s="27"/>
      <c r="T36" s="27"/>
      <c r="U36" s="27"/>
      <c r="V36" s="27"/>
      <c r="W36" s="27"/>
      <c r="X36" s="27"/>
      <c r="Y36" s="27"/>
      <c r="Z36" s="27"/>
      <c r="AA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Z36"/>
    </row>
    <row r="37" spans="1:52" ht="15.75" thickBot="1" x14ac:dyDescent="0.3">
      <c r="A37" s="144" t="s">
        <v>55</v>
      </c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52" s="18" customFormat="1" ht="14.65" customHeight="1" x14ac:dyDescent="0.25">
      <c r="A38" s="470" t="s">
        <v>15</v>
      </c>
      <c r="B38" s="472" t="s">
        <v>36</v>
      </c>
      <c r="C38" s="475" t="str">
        <f>(YEAR(Test_date)-3)&amp;" год"</f>
        <v>2016 год</v>
      </c>
      <c r="D38" s="457" t="str">
        <f>C38</f>
        <v>2016 год</v>
      </c>
      <c r="E38" s="458"/>
      <c r="F38" s="458"/>
      <c r="G38" s="459"/>
      <c r="H38" s="455" t="str">
        <f>(LEFT(C38,4)+1)&amp;" год"</f>
        <v>2017 год</v>
      </c>
      <c r="I38" s="457" t="str">
        <f>H38</f>
        <v>2017 год</v>
      </c>
      <c r="J38" s="458"/>
      <c r="K38" s="458"/>
      <c r="L38" s="459"/>
      <c r="M38" s="455" t="str">
        <f>(LEFT(H38,4)+1)&amp;" год"</f>
        <v>2018 год</v>
      </c>
      <c r="N38" s="457" t="str">
        <f>M38</f>
        <v>2018 год</v>
      </c>
      <c r="O38" s="458"/>
      <c r="P38" s="458"/>
      <c r="Q38" s="459"/>
    </row>
    <row r="39" spans="1:52" s="18" customFormat="1" ht="15.75" thickBot="1" x14ac:dyDescent="0.3">
      <c r="A39" s="471"/>
      <c r="B39" s="473"/>
      <c r="C39" s="476"/>
      <c r="D39" s="415" t="s">
        <v>0</v>
      </c>
      <c r="E39" s="412" t="s">
        <v>1</v>
      </c>
      <c r="F39" s="412" t="s">
        <v>2</v>
      </c>
      <c r="G39" s="414" t="s">
        <v>3</v>
      </c>
      <c r="H39" s="456"/>
      <c r="I39" s="415" t="s">
        <v>0</v>
      </c>
      <c r="J39" s="412" t="s">
        <v>1</v>
      </c>
      <c r="K39" s="412" t="s">
        <v>2</v>
      </c>
      <c r="L39" s="414" t="s">
        <v>3</v>
      </c>
      <c r="M39" s="456"/>
      <c r="N39" s="415" t="s">
        <v>0</v>
      </c>
      <c r="O39" s="412" t="s">
        <v>1</v>
      </c>
      <c r="P39" s="412" t="s">
        <v>2</v>
      </c>
      <c r="Q39" s="414" t="s">
        <v>3</v>
      </c>
    </row>
    <row r="40" spans="1:52" x14ac:dyDescent="0.25">
      <c r="A40" s="277" t="s">
        <v>4</v>
      </c>
      <c r="B40" s="129" t="s">
        <v>118</v>
      </c>
      <c r="C40" s="40">
        <f>D40</f>
        <v>1.6</v>
      </c>
      <c r="D40" s="64">
        <v>1.6</v>
      </c>
      <c r="E40" s="229">
        <f>D50</f>
        <v>1.9</v>
      </c>
      <c r="F40" s="229">
        <f>E50</f>
        <v>2.2000000000000002</v>
      </c>
      <c r="G40" s="230">
        <f>F50</f>
        <v>1.9</v>
      </c>
      <c r="H40" s="40">
        <f>I40</f>
        <v>1.7</v>
      </c>
      <c r="I40" s="234">
        <f>G50</f>
        <v>1.7</v>
      </c>
      <c r="J40" s="235">
        <f>I50</f>
        <v>1.7</v>
      </c>
      <c r="K40" s="235">
        <f>J50</f>
        <v>7.3</v>
      </c>
      <c r="L40" s="236">
        <f>K50</f>
        <v>9.1999999999999993</v>
      </c>
      <c r="M40" s="40">
        <f>N40</f>
        <v>1.8</v>
      </c>
      <c r="N40" s="234">
        <f>L50</f>
        <v>1.8</v>
      </c>
      <c r="O40" s="237">
        <f>N50</f>
        <v>1.105</v>
      </c>
      <c r="P40" s="237">
        <f>O50</f>
        <v>0.72199999999999998</v>
      </c>
      <c r="Q40" s="238">
        <f>P50</f>
        <v>0.94299999999999995</v>
      </c>
      <c r="R40" s="4"/>
      <c r="S40" s="4"/>
      <c r="T40" s="4"/>
      <c r="U40" s="4"/>
      <c r="V40" s="4"/>
      <c r="W40" s="4"/>
    </row>
    <row r="41" spans="1:52" x14ac:dyDescent="0.25">
      <c r="A41" s="277" t="s">
        <v>126</v>
      </c>
      <c r="B41" s="120" t="s">
        <v>118</v>
      </c>
      <c r="C41" s="37">
        <f>SUM(D41:G41)</f>
        <v>172.27600000000001</v>
      </c>
      <c r="D41" s="64">
        <v>35</v>
      </c>
      <c r="E41" s="79">
        <v>55.75</v>
      </c>
      <c r="F41" s="79">
        <v>50.75</v>
      </c>
      <c r="G41" s="90">
        <v>30.776</v>
      </c>
      <c r="H41" s="37">
        <f>SUM(I41:L41)</f>
        <v>174.55</v>
      </c>
      <c r="I41" s="64">
        <v>35.9</v>
      </c>
      <c r="J41" s="79">
        <v>56.35</v>
      </c>
      <c r="K41" s="79">
        <v>51.55</v>
      </c>
      <c r="L41" s="90">
        <v>30.75</v>
      </c>
      <c r="M41" s="37">
        <f>SUM(N41:Q41)</f>
        <v>175.59900000000002</v>
      </c>
      <c r="N41" s="64">
        <v>36.505000000000003</v>
      </c>
      <c r="O41" s="79">
        <v>58.267000000000003</v>
      </c>
      <c r="P41" s="79">
        <v>50.816000000000003</v>
      </c>
      <c r="Q41" s="90">
        <v>30.010999999999999</v>
      </c>
    </row>
    <row r="42" spans="1:52" x14ac:dyDescent="0.25">
      <c r="A42" s="277" t="s">
        <v>127</v>
      </c>
      <c r="B42" s="120" t="s">
        <v>118</v>
      </c>
      <c r="C42" s="37">
        <f>SUM(D42:G42)</f>
        <v>0.72399999999999998</v>
      </c>
      <c r="D42" s="64">
        <v>0.1</v>
      </c>
      <c r="E42" s="79">
        <v>0.25</v>
      </c>
      <c r="F42" s="79">
        <v>0.25</v>
      </c>
      <c r="G42" s="90">
        <v>0.124</v>
      </c>
      <c r="H42" s="37">
        <f>SUM(I42:L42)</f>
        <v>0.75</v>
      </c>
      <c r="I42" s="64">
        <v>0.1</v>
      </c>
      <c r="J42" s="79">
        <v>0.25</v>
      </c>
      <c r="K42" s="79">
        <v>0.25</v>
      </c>
      <c r="L42" s="90">
        <v>0.15</v>
      </c>
      <c r="M42" s="37">
        <f>SUM(N42:Q42)</f>
        <v>0.65500000000000003</v>
      </c>
      <c r="N42" s="64">
        <v>0.1</v>
      </c>
      <c r="O42" s="79">
        <v>0.25</v>
      </c>
      <c r="P42" s="79">
        <v>0.155</v>
      </c>
      <c r="Q42" s="90">
        <v>0.15</v>
      </c>
    </row>
    <row r="43" spans="1:52" x14ac:dyDescent="0.25">
      <c r="A43" s="277" t="s">
        <v>16</v>
      </c>
      <c r="B43" s="120" t="s">
        <v>118</v>
      </c>
      <c r="C43" s="37">
        <f>SUM(D43:G43)</f>
        <v>50.8</v>
      </c>
      <c r="D43" s="64">
        <v>17.7</v>
      </c>
      <c r="E43" s="79">
        <v>10.5</v>
      </c>
      <c r="F43" s="79">
        <v>12.3</v>
      </c>
      <c r="G43" s="90">
        <v>10.3</v>
      </c>
      <c r="H43" s="37">
        <f>SUM(I43:L43)</f>
        <v>48.600000000000009</v>
      </c>
      <c r="I43" s="64">
        <v>16.600000000000001</v>
      </c>
      <c r="J43" s="79">
        <v>13.5</v>
      </c>
      <c r="K43" s="79">
        <v>17.8</v>
      </c>
      <c r="L43" s="90">
        <v>0.7</v>
      </c>
      <c r="M43" s="37">
        <f>SUM(N43:Q43)</f>
        <v>46.3</v>
      </c>
      <c r="N43" s="64">
        <v>15</v>
      </c>
      <c r="O43" s="79">
        <v>7.3</v>
      </c>
      <c r="P43" s="79">
        <v>15.1</v>
      </c>
      <c r="Q43" s="90">
        <v>8.9</v>
      </c>
    </row>
    <row r="44" spans="1:52" x14ac:dyDescent="0.25">
      <c r="A44" s="277" t="s">
        <v>17</v>
      </c>
      <c r="B44" s="120" t="s">
        <v>118</v>
      </c>
      <c r="C44" s="37">
        <f t="shared" ref="C44:Q44" si="7">C40+C41+C43+C42</f>
        <v>225.39999999999998</v>
      </c>
      <c r="D44" s="231">
        <f t="shared" si="7"/>
        <v>54.4</v>
      </c>
      <c r="E44" s="232">
        <f t="shared" si="7"/>
        <v>68.400000000000006</v>
      </c>
      <c r="F44" s="232">
        <f t="shared" si="7"/>
        <v>65.5</v>
      </c>
      <c r="G44" s="233">
        <f t="shared" si="7"/>
        <v>43.1</v>
      </c>
      <c r="H44" s="37">
        <f t="shared" si="7"/>
        <v>225.60000000000002</v>
      </c>
      <c r="I44" s="231">
        <f t="shared" si="7"/>
        <v>54.300000000000004</v>
      </c>
      <c r="J44" s="232">
        <f t="shared" si="7"/>
        <v>71.800000000000011</v>
      </c>
      <c r="K44" s="232">
        <f t="shared" si="7"/>
        <v>76.899999999999991</v>
      </c>
      <c r="L44" s="233">
        <f t="shared" si="7"/>
        <v>40.800000000000004</v>
      </c>
      <c r="M44" s="37">
        <f t="shared" si="7"/>
        <v>224.35400000000001</v>
      </c>
      <c r="N44" s="231">
        <f t="shared" si="7"/>
        <v>53.405000000000001</v>
      </c>
      <c r="O44" s="232">
        <f t="shared" si="7"/>
        <v>66.921999999999997</v>
      </c>
      <c r="P44" s="232">
        <f t="shared" si="7"/>
        <v>66.793000000000006</v>
      </c>
      <c r="Q44" s="233">
        <f t="shared" si="7"/>
        <v>40.003999999999998</v>
      </c>
    </row>
    <row r="45" spans="1:52" x14ac:dyDescent="0.25">
      <c r="A45" s="277" t="s">
        <v>102</v>
      </c>
      <c r="B45" s="120" t="s">
        <v>118</v>
      </c>
      <c r="C45" s="37">
        <f>SUM(D45:G45)</f>
        <v>12</v>
      </c>
      <c r="D45" s="64">
        <v>4</v>
      </c>
      <c r="E45" s="79">
        <v>3.5</v>
      </c>
      <c r="F45" s="79">
        <v>2.1</v>
      </c>
      <c r="G45" s="77">
        <v>2.4</v>
      </c>
      <c r="H45" s="40">
        <f>SUM(I45:L45)</f>
        <v>11.7</v>
      </c>
      <c r="I45" s="64">
        <v>3.5</v>
      </c>
      <c r="J45" s="79">
        <v>2.1</v>
      </c>
      <c r="K45" s="79">
        <v>2.6</v>
      </c>
      <c r="L45" s="77">
        <v>3.5</v>
      </c>
      <c r="M45" s="37">
        <f>SUM(N45:Q45)</f>
        <v>11.6</v>
      </c>
      <c r="N45" s="64">
        <v>3.5</v>
      </c>
      <c r="O45" s="79">
        <v>2.2999999999999998</v>
      </c>
      <c r="P45" s="79">
        <v>2</v>
      </c>
      <c r="Q45" s="77">
        <v>3.8</v>
      </c>
    </row>
    <row r="46" spans="1:52" x14ac:dyDescent="0.25">
      <c r="A46" s="277" t="s">
        <v>125</v>
      </c>
      <c r="B46" s="120" t="s">
        <v>118</v>
      </c>
      <c r="C46" s="37">
        <f>SUM(D46:G46)</f>
        <v>0</v>
      </c>
      <c r="D46" s="64">
        <v>0</v>
      </c>
      <c r="E46" s="79">
        <v>0</v>
      </c>
      <c r="F46" s="79">
        <v>0</v>
      </c>
      <c r="G46" s="77">
        <v>0</v>
      </c>
      <c r="H46" s="37">
        <f>SUM(I46:L46)</f>
        <v>0</v>
      </c>
      <c r="I46" s="64">
        <v>0</v>
      </c>
      <c r="J46" s="79">
        <v>0</v>
      </c>
      <c r="K46" s="79">
        <v>0</v>
      </c>
      <c r="L46" s="77">
        <v>0</v>
      </c>
      <c r="M46" s="37">
        <f>SUM(N46:Q46)</f>
        <v>0</v>
      </c>
      <c r="N46" s="64">
        <v>0</v>
      </c>
      <c r="O46" s="79">
        <v>0</v>
      </c>
      <c r="P46" s="79">
        <v>0</v>
      </c>
      <c r="Q46" s="77">
        <v>0</v>
      </c>
    </row>
    <row r="47" spans="1:52" x14ac:dyDescent="0.25">
      <c r="A47" s="277" t="s">
        <v>5</v>
      </c>
      <c r="B47" s="120" t="s">
        <v>118</v>
      </c>
      <c r="C47" s="37">
        <f>SUM(D47:G47)</f>
        <v>0.3</v>
      </c>
      <c r="D47" s="64">
        <v>0</v>
      </c>
      <c r="E47" s="79">
        <v>0</v>
      </c>
      <c r="F47" s="79">
        <v>0</v>
      </c>
      <c r="G47" s="77">
        <v>0.3</v>
      </c>
      <c r="H47" s="37">
        <f>SUM(I47:L47)</f>
        <v>0.30000000000000004</v>
      </c>
      <c r="I47" s="64">
        <v>0</v>
      </c>
      <c r="J47" s="79">
        <v>0.1</v>
      </c>
      <c r="K47" s="79">
        <v>0.1</v>
      </c>
      <c r="L47" s="77">
        <v>0.1</v>
      </c>
      <c r="M47" s="37">
        <f>SUM(N47:Q47)</f>
        <v>0.3</v>
      </c>
      <c r="N47" s="64">
        <v>0</v>
      </c>
      <c r="O47" s="79">
        <v>0</v>
      </c>
      <c r="P47" s="79">
        <v>0.15</v>
      </c>
      <c r="Q47" s="77">
        <v>0.15</v>
      </c>
    </row>
    <row r="48" spans="1:52" x14ac:dyDescent="0.25">
      <c r="A48" s="277" t="s">
        <v>18</v>
      </c>
      <c r="B48" s="120" t="s">
        <v>118</v>
      </c>
      <c r="C48" s="40">
        <f>SUM(D48:G48)</f>
        <v>0.89999999999999991</v>
      </c>
      <c r="D48" s="64">
        <v>0</v>
      </c>
      <c r="E48" s="79">
        <v>0.3</v>
      </c>
      <c r="F48" s="79">
        <v>0.3</v>
      </c>
      <c r="G48" s="77">
        <v>0.3</v>
      </c>
      <c r="H48" s="37">
        <f>SUM(I48:L48)</f>
        <v>10.6</v>
      </c>
      <c r="I48" s="64">
        <v>1.1000000000000001</v>
      </c>
      <c r="J48" s="79">
        <v>3.8</v>
      </c>
      <c r="K48" s="79">
        <v>5.0999999999999996</v>
      </c>
      <c r="L48" s="77">
        <v>0.6</v>
      </c>
      <c r="M48" s="37">
        <f>SUM(N48:Q48)</f>
        <v>9.8000000000000007</v>
      </c>
      <c r="N48" s="64">
        <v>1.2</v>
      </c>
      <c r="O48" s="79">
        <v>3.4</v>
      </c>
      <c r="P48" s="79">
        <v>3.2</v>
      </c>
      <c r="Q48" s="77">
        <v>2</v>
      </c>
    </row>
    <row r="49" spans="1:64" x14ac:dyDescent="0.25">
      <c r="A49" s="277" t="s">
        <v>6</v>
      </c>
      <c r="B49" s="120" t="s">
        <v>118</v>
      </c>
      <c r="C49" s="37">
        <f>SUM(D49:G49)</f>
        <v>210.50000000000003</v>
      </c>
      <c r="D49" s="64">
        <v>48.5</v>
      </c>
      <c r="E49" s="79">
        <v>62.4</v>
      </c>
      <c r="F49" s="79">
        <v>61.2</v>
      </c>
      <c r="G49" s="77">
        <v>38.4</v>
      </c>
      <c r="H49" s="37">
        <f>SUM(I49:L49)</f>
        <v>201.2</v>
      </c>
      <c r="I49" s="64">
        <v>48</v>
      </c>
      <c r="J49" s="79">
        <v>58.5</v>
      </c>
      <c r="K49" s="79">
        <v>59.9</v>
      </c>
      <c r="L49" s="77">
        <v>34.799999999999997</v>
      </c>
      <c r="M49" s="41">
        <f>SUM(N49:Q49)</f>
        <v>200.8</v>
      </c>
      <c r="N49" s="64">
        <v>47.6</v>
      </c>
      <c r="O49" s="79">
        <v>60.5</v>
      </c>
      <c r="P49" s="79">
        <v>60.5</v>
      </c>
      <c r="Q49" s="77">
        <v>32.200000000000003</v>
      </c>
    </row>
    <row r="50" spans="1:64" ht="15.75" thickBot="1" x14ac:dyDescent="0.3">
      <c r="A50" s="277" t="s">
        <v>8</v>
      </c>
      <c r="B50" s="121" t="s">
        <v>118</v>
      </c>
      <c r="C50" s="39">
        <f>G50</f>
        <v>1.7</v>
      </c>
      <c r="D50" s="78">
        <v>1.9</v>
      </c>
      <c r="E50" s="91">
        <v>2.2000000000000002</v>
      </c>
      <c r="F50" s="91">
        <v>1.9</v>
      </c>
      <c r="G50" s="94">
        <v>1.7</v>
      </c>
      <c r="H50" s="44">
        <f>L50</f>
        <v>1.8</v>
      </c>
      <c r="I50" s="78">
        <v>1.7</v>
      </c>
      <c r="J50" s="91">
        <v>7.3</v>
      </c>
      <c r="K50" s="91">
        <v>9.1999999999999993</v>
      </c>
      <c r="L50" s="94">
        <v>1.8</v>
      </c>
      <c r="M50" s="39">
        <f>Q50</f>
        <v>1.8540000000000001</v>
      </c>
      <c r="N50" s="78">
        <v>1.105</v>
      </c>
      <c r="O50" s="91">
        <v>0.72199999999999998</v>
      </c>
      <c r="P50" s="91">
        <v>0.94299999999999995</v>
      </c>
      <c r="Q50" s="94">
        <v>1.8540000000000001</v>
      </c>
      <c r="R50" s="4"/>
      <c r="S50" s="4"/>
      <c r="T50" s="4"/>
      <c r="U50" s="4"/>
      <c r="V50" s="4"/>
      <c r="W50" s="4"/>
      <c r="Y50" s="4"/>
      <c r="Z50" s="4"/>
      <c r="AA50" s="4"/>
      <c r="AB50" s="4"/>
      <c r="AD50" s="4"/>
      <c r="AE50" s="4"/>
      <c r="AF50" s="4"/>
      <c r="AG50" s="4"/>
      <c r="AI50" s="4"/>
      <c r="AJ50" s="4"/>
      <c r="AK50" s="4"/>
      <c r="AL50" s="4"/>
    </row>
    <row r="51" spans="1:64" ht="15.75" thickBot="1" x14ac:dyDescent="0.3">
      <c r="A51" s="48"/>
      <c r="B51" s="49"/>
      <c r="C51" s="48"/>
      <c r="D51" s="93"/>
      <c r="E51" s="15"/>
      <c r="F51" s="15"/>
      <c r="G51" s="15"/>
      <c r="H51" s="47"/>
      <c r="I51" s="15"/>
      <c r="J51" s="15"/>
      <c r="K51" s="15"/>
      <c r="L51" s="15"/>
      <c r="M51" s="15"/>
      <c r="N51" s="15"/>
      <c r="O51" s="15"/>
      <c r="P51" s="15"/>
      <c r="Q51" s="15"/>
      <c r="R51" s="15"/>
      <c r="Y51" s="2"/>
      <c r="Z51" s="2"/>
    </row>
    <row r="52" spans="1:64" ht="57.75" thickBot="1" x14ac:dyDescent="0.3">
      <c r="A52" s="210" t="s">
        <v>130</v>
      </c>
      <c r="B52" s="285" t="s">
        <v>118</v>
      </c>
      <c r="C52" s="274">
        <f>C44-(C45+C46+C47+C48+C49)-C50</f>
        <v>-3.9745984281580604E-14</v>
      </c>
      <c r="D52" s="211">
        <f>D44-(D45+D46+D47+D48+D49)-D50</f>
        <v>0</v>
      </c>
      <c r="E52" s="212">
        <f t="shared" ref="E52:Q52" si="8">E44-(E45+E46+E47+E48+E49)-E50</f>
        <v>0</v>
      </c>
      <c r="F52" s="212">
        <f t="shared" si="8"/>
        <v>0</v>
      </c>
      <c r="G52" s="275">
        <f t="shared" si="8"/>
        <v>2.886579864025407E-15</v>
      </c>
      <c r="H52" s="276">
        <f t="shared" si="8"/>
        <v>3.9745984281580604E-14</v>
      </c>
      <c r="I52" s="211">
        <f t="shared" si="8"/>
        <v>2.886579864025407E-15</v>
      </c>
      <c r="J52" s="212">
        <f t="shared" si="8"/>
        <v>1.1546319456101628E-14</v>
      </c>
      <c r="K52" s="212">
        <f t="shared" si="8"/>
        <v>0</v>
      </c>
      <c r="L52" s="275">
        <f t="shared" si="8"/>
        <v>4.2188474935755949E-15</v>
      </c>
      <c r="M52" s="276">
        <f t="shared" si="8"/>
        <v>1.3322676295501878E-14</v>
      </c>
      <c r="N52" s="211">
        <f t="shared" si="8"/>
        <v>-3.1086244689504383E-15</v>
      </c>
      <c r="O52" s="212">
        <f t="shared" si="8"/>
        <v>-5.773159728050814E-15</v>
      </c>
      <c r="P52" s="212">
        <f t="shared" si="8"/>
        <v>1.2101430968414206E-14</v>
      </c>
      <c r="Q52" s="213">
        <f t="shared" si="8"/>
        <v>-7.9936057773011271E-15</v>
      </c>
      <c r="Y52" s="2"/>
      <c r="Z52" s="2"/>
    </row>
    <row r="53" spans="1:64" ht="15.75" thickBot="1" x14ac:dyDescent="0.3">
      <c r="B53" s="38"/>
      <c r="H53" s="2"/>
      <c r="Y53" s="2"/>
      <c r="Z53" s="2"/>
    </row>
    <row r="54" spans="1:64" s="146" customFormat="1" ht="45" customHeight="1" thickBot="1" x14ac:dyDescent="0.3">
      <c r="A54" s="210" t="s">
        <v>122</v>
      </c>
      <c r="B54" s="214"/>
      <c r="C54" s="215" t="str">
        <f>IF(SUM(C41:C50)&gt;0,"Проверка пройдена","Заполните данные в балансе")</f>
        <v>Проверка пройдена</v>
      </c>
      <c r="D54" s="216" t="str">
        <f>IF(SUM(D41:D50)&gt;0,"Проверка пройдена","Заполните данные в балансе")</f>
        <v>Проверка пройдена</v>
      </c>
      <c r="E54" s="217" t="str">
        <f t="shared" ref="E54:Q54" si="9">IF(SUM(E41:E50)&gt;0,"Проверка пройдена","Заполните данные в балансе")</f>
        <v>Проверка пройдена</v>
      </c>
      <c r="F54" s="217" t="str">
        <f t="shared" si="9"/>
        <v>Проверка пройдена</v>
      </c>
      <c r="G54" s="220" t="str">
        <f t="shared" si="9"/>
        <v>Проверка пройдена</v>
      </c>
      <c r="H54" s="215" t="str">
        <f t="shared" si="9"/>
        <v>Проверка пройдена</v>
      </c>
      <c r="I54" s="216" t="str">
        <f t="shared" si="9"/>
        <v>Проверка пройдена</v>
      </c>
      <c r="J54" s="217" t="str">
        <f t="shared" si="9"/>
        <v>Проверка пройдена</v>
      </c>
      <c r="K54" s="217" t="str">
        <f t="shared" si="9"/>
        <v>Проверка пройдена</v>
      </c>
      <c r="L54" s="220" t="str">
        <f t="shared" si="9"/>
        <v>Проверка пройдена</v>
      </c>
      <c r="M54" s="215" t="str">
        <f t="shared" si="9"/>
        <v>Проверка пройдена</v>
      </c>
      <c r="N54" s="216" t="str">
        <f t="shared" si="9"/>
        <v>Проверка пройдена</v>
      </c>
      <c r="O54" s="217" t="str">
        <f t="shared" si="9"/>
        <v>Проверка пройдена</v>
      </c>
      <c r="P54" s="217" t="str">
        <f t="shared" si="9"/>
        <v>Проверка пройдена</v>
      </c>
      <c r="Q54" s="218" t="str">
        <f t="shared" si="9"/>
        <v>Проверка пройдена</v>
      </c>
      <c r="Y54" s="147"/>
      <c r="Z54" s="147"/>
    </row>
    <row r="55" spans="1:64" x14ac:dyDescent="0.25">
      <c r="D55" s="2"/>
      <c r="H55" s="2"/>
      <c r="Y55" s="2"/>
      <c r="Z55" s="2"/>
    </row>
    <row r="56" spans="1:64" x14ac:dyDescent="0.25">
      <c r="A56" s="143" t="s">
        <v>110</v>
      </c>
      <c r="B56" s="17"/>
      <c r="C56" s="4"/>
      <c r="D56" s="4"/>
      <c r="E56" s="4"/>
      <c r="F56" s="4"/>
      <c r="G56" s="4"/>
      <c r="H56" s="6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U56" s="4"/>
      <c r="AV56" s="4"/>
      <c r="AW56" s="4"/>
    </row>
    <row r="57" spans="1:64" x14ac:dyDescent="0.25">
      <c r="A57" s="144" t="s">
        <v>139</v>
      </c>
      <c r="B57" s="17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</row>
    <row r="58" spans="1:64" ht="15.75" thickBot="1" x14ac:dyDescent="0.3">
      <c r="A58" s="144" t="s">
        <v>138</v>
      </c>
      <c r="B58" s="17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</row>
    <row r="59" spans="1:64" ht="14.65" customHeight="1" x14ac:dyDescent="0.25">
      <c r="A59" s="470" t="s">
        <v>15</v>
      </c>
      <c r="B59" s="472" t="s">
        <v>36</v>
      </c>
      <c r="C59" s="455" t="str">
        <f>(YEAR(Test_date)-7)&amp;" год"</f>
        <v>2012 год</v>
      </c>
      <c r="D59" s="460" t="str">
        <f>C59</f>
        <v>2012 год</v>
      </c>
      <c r="E59" s="458"/>
      <c r="F59" s="458"/>
      <c r="G59" s="461"/>
      <c r="H59" s="455" t="str">
        <f>(LEFT(C59,4)+1)&amp;" год"</f>
        <v>2013 год</v>
      </c>
      <c r="I59" s="460" t="str">
        <f>H59</f>
        <v>2013 год</v>
      </c>
      <c r="J59" s="458"/>
      <c r="K59" s="458"/>
      <c r="L59" s="461"/>
      <c r="M59" s="455" t="str">
        <f>(LEFT(H59,4)+1)&amp;" год"</f>
        <v>2014 год</v>
      </c>
      <c r="N59" s="460" t="str">
        <f>M59</f>
        <v>2014 год</v>
      </c>
      <c r="O59" s="458"/>
      <c r="P59" s="458"/>
      <c r="Q59" s="461"/>
      <c r="R59" s="455" t="str">
        <f>(LEFT(M59,4)+1)&amp;" год"</f>
        <v>2015 год</v>
      </c>
      <c r="S59" s="460" t="str">
        <f>R59</f>
        <v>2015 год</v>
      </c>
      <c r="T59" s="458"/>
      <c r="U59" s="458"/>
      <c r="V59" s="461"/>
      <c r="W59" s="455" t="str">
        <f>(LEFT(R59,4)+1)&amp;" год"</f>
        <v>2016 год</v>
      </c>
      <c r="X59" s="460" t="str">
        <f>W59</f>
        <v>2016 год</v>
      </c>
      <c r="Y59" s="458"/>
      <c r="Z59" s="458"/>
      <c r="AA59" s="461"/>
      <c r="AB59" s="455" t="str">
        <f>(LEFT(W59,4)+1)&amp;" год"</f>
        <v>2017 год</v>
      </c>
      <c r="AC59" s="460" t="str">
        <f>AB59</f>
        <v>2017 год</v>
      </c>
      <c r="AD59" s="458"/>
      <c r="AE59" s="458"/>
      <c r="AF59" s="461"/>
      <c r="AG59" s="455" t="str">
        <f>(LEFT(AB59,4)+1)&amp;" год"</f>
        <v>2018 год</v>
      </c>
      <c r="AH59" s="462" t="str">
        <f>AG59</f>
        <v>2018 год</v>
      </c>
      <c r="AI59" s="458"/>
      <c r="AJ59" s="458"/>
      <c r="AK59" s="459"/>
      <c r="AL59" s="4"/>
      <c r="AM59" s="4"/>
      <c r="AT59" s="6"/>
      <c r="AU59" s="6"/>
      <c r="AV59" s="6"/>
      <c r="AW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64" ht="15.75" thickBot="1" x14ac:dyDescent="0.3">
      <c r="A60" s="471"/>
      <c r="B60" s="473"/>
      <c r="C60" s="456"/>
      <c r="D60" s="411" t="s">
        <v>0</v>
      </c>
      <c r="E60" s="412" t="s">
        <v>1</v>
      </c>
      <c r="F60" s="412" t="s">
        <v>2</v>
      </c>
      <c r="G60" s="413" t="s">
        <v>3</v>
      </c>
      <c r="H60" s="456"/>
      <c r="I60" s="411" t="s">
        <v>0</v>
      </c>
      <c r="J60" s="412" t="s">
        <v>1</v>
      </c>
      <c r="K60" s="412" t="s">
        <v>2</v>
      </c>
      <c r="L60" s="413" t="s">
        <v>3</v>
      </c>
      <c r="M60" s="456"/>
      <c r="N60" s="411" t="s">
        <v>0</v>
      </c>
      <c r="O60" s="412" t="s">
        <v>1</v>
      </c>
      <c r="P60" s="412" t="s">
        <v>2</v>
      </c>
      <c r="Q60" s="413" t="s">
        <v>3</v>
      </c>
      <c r="R60" s="456"/>
      <c r="S60" s="411" t="s">
        <v>0</v>
      </c>
      <c r="T60" s="412" t="s">
        <v>1</v>
      </c>
      <c r="U60" s="412" t="s">
        <v>2</v>
      </c>
      <c r="V60" s="414" t="s">
        <v>3</v>
      </c>
      <c r="W60" s="456"/>
      <c r="X60" s="411" t="s">
        <v>0</v>
      </c>
      <c r="Y60" s="412" t="s">
        <v>1</v>
      </c>
      <c r="Z60" s="412" t="s">
        <v>2</v>
      </c>
      <c r="AA60" s="413" t="s">
        <v>3</v>
      </c>
      <c r="AB60" s="456"/>
      <c r="AC60" s="411" t="s">
        <v>0</v>
      </c>
      <c r="AD60" s="412" t="s">
        <v>1</v>
      </c>
      <c r="AE60" s="412" t="s">
        <v>2</v>
      </c>
      <c r="AF60" s="413" t="s">
        <v>3</v>
      </c>
      <c r="AG60" s="456"/>
      <c r="AH60" s="411" t="s">
        <v>0</v>
      </c>
      <c r="AI60" s="412" t="s">
        <v>1</v>
      </c>
      <c r="AJ60" s="412" t="s">
        <v>2</v>
      </c>
      <c r="AK60" s="414" t="s">
        <v>3</v>
      </c>
      <c r="AL60" s="4"/>
      <c r="AM60" s="4"/>
      <c r="AT60" s="6"/>
      <c r="AU60" s="6"/>
      <c r="AV60" s="6"/>
      <c r="AW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64" s="51" customFormat="1" ht="15.75" thickBot="1" x14ac:dyDescent="0.3">
      <c r="A61" s="142" t="s">
        <v>8</v>
      </c>
      <c r="B61" s="127" t="s">
        <v>118</v>
      </c>
      <c r="C61" s="53">
        <f>G61</f>
        <v>2.2000000000000002</v>
      </c>
      <c r="D61" s="91">
        <v>2.8</v>
      </c>
      <c r="E61" s="91">
        <v>2.2000000000000002</v>
      </c>
      <c r="F61" s="91">
        <v>1.9</v>
      </c>
      <c r="G61" s="91">
        <v>2.2000000000000002</v>
      </c>
      <c r="H61" s="54">
        <f>L61</f>
        <v>3.1</v>
      </c>
      <c r="I61" s="91">
        <v>2.8</v>
      </c>
      <c r="J61" s="91">
        <v>2.1</v>
      </c>
      <c r="K61" s="91">
        <v>1.9</v>
      </c>
      <c r="L61" s="91">
        <v>3.1</v>
      </c>
      <c r="M61" s="54">
        <f>Q61</f>
        <v>1.9</v>
      </c>
      <c r="N61" s="91">
        <v>2.2000000000000002</v>
      </c>
      <c r="O61" s="91">
        <v>1.8</v>
      </c>
      <c r="P61" s="91">
        <v>1</v>
      </c>
      <c r="Q61" s="91">
        <v>1.9</v>
      </c>
      <c r="R61" s="54">
        <f>V61</f>
        <v>1.6</v>
      </c>
      <c r="S61" s="91">
        <v>1.5</v>
      </c>
      <c r="T61" s="91">
        <v>1.5</v>
      </c>
      <c r="U61" s="91">
        <v>1.2</v>
      </c>
      <c r="V61" s="91">
        <v>1.6</v>
      </c>
      <c r="W61" s="317">
        <f>AA61</f>
        <v>1.7</v>
      </c>
      <c r="X61" s="318">
        <f>D50</f>
        <v>1.9</v>
      </c>
      <c r="Y61" s="318">
        <f>E50</f>
        <v>2.2000000000000002</v>
      </c>
      <c r="Z61" s="318">
        <f>F50</f>
        <v>1.9</v>
      </c>
      <c r="AA61" s="318">
        <f>G50</f>
        <v>1.7</v>
      </c>
      <c r="AB61" s="317">
        <f>AF61</f>
        <v>1.8</v>
      </c>
      <c r="AC61" s="318">
        <f>I50</f>
        <v>1.7</v>
      </c>
      <c r="AD61" s="318">
        <f>J50</f>
        <v>7.3</v>
      </c>
      <c r="AE61" s="318">
        <f>K50</f>
        <v>9.1999999999999993</v>
      </c>
      <c r="AF61" s="318">
        <f>L50</f>
        <v>1.8</v>
      </c>
      <c r="AG61" s="317">
        <f>AK61</f>
        <v>1.8540000000000001</v>
      </c>
      <c r="AH61" s="318">
        <f>N50</f>
        <v>1.105</v>
      </c>
      <c r="AI61" s="318">
        <f>O50</f>
        <v>0.72199999999999998</v>
      </c>
      <c r="AJ61" s="318">
        <f>P50</f>
        <v>0.94299999999999995</v>
      </c>
      <c r="AK61" s="319">
        <f>Q50</f>
        <v>1.8540000000000001</v>
      </c>
      <c r="AL61" s="320"/>
      <c r="AM61" s="320"/>
      <c r="AN61" s="321"/>
      <c r="AT61" s="52"/>
      <c r="AU61" s="52"/>
      <c r="AV61" s="52"/>
      <c r="AW61" s="52"/>
      <c r="AZ61" s="51">
        <v>251</v>
      </c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</row>
    <row r="62" spans="1:64" s="9" customFormat="1" ht="15.75" thickBot="1" x14ac:dyDescent="0.3">
      <c r="A62" s="112"/>
      <c r="B62" s="113"/>
      <c r="C62" s="29"/>
      <c r="D62" s="28"/>
      <c r="E62" s="28"/>
      <c r="F62" s="28"/>
      <c r="G62" s="28"/>
      <c r="H62" s="29"/>
      <c r="I62" s="28"/>
      <c r="J62" s="28"/>
      <c r="K62" s="28"/>
      <c r="L62" s="28"/>
      <c r="M62" s="29"/>
      <c r="N62" s="28"/>
      <c r="O62" s="28"/>
      <c r="P62" s="28"/>
      <c r="Q62" s="28"/>
      <c r="R62" s="29"/>
      <c r="S62" s="28"/>
      <c r="T62" s="28"/>
      <c r="U62" s="28"/>
      <c r="V62" s="28"/>
      <c r="W62" s="29"/>
      <c r="X62" s="28"/>
      <c r="Y62" s="28"/>
      <c r="Z62" s="28"/>
      <c r="AA62" s="28"/>
      <c r="AB62" s="29"/>
      <c r="AC62" s="28"/>
      <c r="AD62" s="28"/>
      <c r="AE62" s="28"/>
      <c r="AF62" s="28"/>
      <c r="AG62" s="29"/>
      <c r="AH62" s="28"/>
      <c r="AI62" s="28"/>
      <c r="AJ62" s="28"/>
      <c r="AK62" s="28"/>
    </row>
    <row r="63" spans="1:64" s="223" customFormat="1" ht="58.5" customHeight="1" thickBot="1" x14ac:dyDescent="0.3">
      <c r="A63" s="210" t="s">
        <v>136</v>
      </c>
      <c r="B63" s="219"/>
      <c r="C63" s="215" t="str">
        <f>IF(C61&gt;0,"Проверка пройдена","Заполните данные в запасах (Таблица 6)")</f>
        <v>Проверка пройдена</v>
      </c>
      <c r="D63" s="216" t="str">
        <f>IF(D61&gt;0,"Проверка пройдена","Заполните данные в запасах (Таблица 6)")</f>
        <v>Проверка пройдена</v>
      </c>
      <c r="E63" s="217" t="str">
        <f t="shared" ref="E63:V63" si="10">IF(E61&gt;0,"Проверка пройдена","Заполните данные в запасах (Таблица 6)")</f>
        <v>Проверка пройдена</v>
      </c>
      <c r="F63" s="217" t="str">
        <f t="shared" si="10"/>
        <v>Проверка пройдена</v>
      </c>
      <c r="G63" s="220" t="str">
        <f t="shared" si="10"/>
        <v>Проверка пройдена</v>
      </c>
      <c r="H63" s="215" t="str">
        <f t="shared" si="10"/>
        <v>Проверка пройдена</v>
      </c>
      <c r="I63" s="216" t="str">
        <f t="shared" si="10"/>
        <v>Проверка пройдена</v>
      </c>
      <c r="J63" s="217" t="str">
        <f t="shared" si="10"/>
        <v>Проверка пройдена</v>
      </c>
      <c r="K63" s="217" t="str">
        <f t="shared" si="10"/>
        <v>Проверка пройдена</v>
      </c>
      <c r="L63" s="220" t="str">
        <f t="shared" si="10"/>
        <v>Проверка пройдена</v>
      </c>
      <c r="M63" s="215" t="str">
        <f t="shared" si="10"/>
        <v>Проверка пройдена</v>
      </c>
      <c r="N63" s="216" t="str">
        <f t="shared" si="10"/>
        <v>Проверка пройдена</v>
      </c>
      <c r="O63" s="217" t="str">
        <f t="shared" si="10"/>
        <v>Проверка пройдена</v>
      </c>
      <c r="P63" s="217" t="str">
        <f t="shared" si="10"/>
        <v>Проверка пройдена</v>
      </c>
      <c r="Q63" s="220" t="str">
        <f t="shared" si="10"/>
        <v>Проверка пройдена</v>
      </c>
      <c r="R63" s="217" t="str">
        <f t="shared" si="10"/>
        <v>Проверка пройдена</v>
      </c>
      <c r="S63" s="216" t="str">
        <f t="shared" si="10"/>
        <v>Проверка пройдена</v>
      </c>
      <c r="T63" s="217" t="str">
        <f t="shared" si="10"/>
        <v>Проверка пройдена</v>
      </c>
      <c r="U63" s="217" t="str">
        <f t="shared" si="10"/>
        <v>Проверка пройдена</v>
      </c>
      <c r="V63" s="218" t="str">
        <f t="shared" si="10"/>
        <v>Проверка пройдена</v>
      </c>
      <c r="W63" s="221"/>
      <c r="X63" s="222"/>
      <c r="Y63" s="222"/>
      <c r="Z63" s="222"/>
      <c r="AA63" s="222"/>
      <c r="AB63" s="221"/>
      <c r="AC63" s="222"/>
      <c r="AD63" s="222"/>
      <c r="AE63" s="222"/>
      <c r="AF63" s="222"/>
      <c r="AG63" s="221"/>
      <c r="AH63" s="222"/>
      <c r="AI63" s="222"/>
      <c r="AJ63" s="222"/>
      <c r="AK63" s="222"/>
    </row>
    <row r="64" spans="1:64" s="9" customFormat="1" x14ac:dyDescent="0.25">
      <c r="A64" s="66"/>
      <c r="B64" s="136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29"/>
      <c r="X64" s="28"/>
      <c r="Y64" s="28"/>
      <c r="Z64" s="28"/>
      <c r="AA64" s="28"/>
      <c r="AB64" s="29"/>
      <c r="AC64" s="28"/>
      <c r="AD64" s="28"/>
      <c r="AE64" s="28"/>
      <c r="AF64" s="28"/>
      <c r="AG64" s="29"/>
      <c r="AH64" s="28"/>
      <c r="AI64" s="28"/>
      <c r="AJ64" s="28"/>
      <c r="AK64" s="28"/>
    </row>
    <row r="65" spans="1:49" s="9" customFormat="1" x14ac:dyDescent="0.25">
      <c r="A65" s="143" t="s">
        <v>113</v>
      </c>
      <c r="B65" s="136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29"/>
      <c r="X65" s="28"/>
      <c r="Y65" s="28"/>
      <c r="Z65" s="28"/>
      <c r="AA65" s="28"/>
      <c r="AB65" s="29"/>
      <c r="AC65" s="28"/>
      <c r="AD65" s="28"/>
      <c r="AE65" s="28"/>
      <c r="AF65" s="28"/>
      <c r="AG65" s="29"/>
      <c r="AH65" s="28"/>
      <c r="AI65" s="28"/>
      <c r="AJ65" s="28"/>
      <c r="AK65" s="28"/>
    </row>
    <row r="66" spans="1:49" ht="15.75" thickBot="1" x14ac:dyDescent="0.3">
      <c r="A66" s="144" t="s">
        <v>137</v>
      </c>
      <c r="B66" s="72"/>
      <c r="C66" s="71"/>
      <c r="D66" s="71"/>
      <c r="E66" s="73"/>
      <c r="F66" s="73"/>
      <c r="G66" s="73"/>
      <c r="H66" s="7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4"/>
    </row>
    <row r="67" spans="1:49" ht="14.65" customHeight="1" x14ac:dyDescent="0.25">
      <c r="A67" s="470" t="s">
        <v>15</v>
      </c>
      <c r="B67" s="472" t="s">
        <v>36</v>
      </c>
      <c r="C67" s="455" t="str">
        <f>YEAR(Test_date)&amp;" год"</f>
        <v>2019 год</v>
      </c>
      <c r="D67" s="460" t="str">
        <f>C67</f>
        <v>2019 год</v>
      </c>
      <c r="E67" s="458"/>
      <c r="F67" s="458"/>
      <c r="G67" s="459"/>
      <c r="H67" s="474" t="s">
        <v>129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spans="1:49" ht="15.75" thickBot="1" x14ac:dyDescent="0.3">
      <c r="A68" s="471"/>
      <c r="B68" s="473"/>
      <c r="C68" s="456"/>
      <c r="D68" s="411" t="s">
        <v>0</v>
      </c>
      <c r="E68" s="412" t="s">
        <v>1</v>
      </c>
      <c r="F68" s="412" t="s">
        <v>2</v>
      </c>
      <c r="G68" s="414" t="s">
        <v>3</v>
      </c>
      <c r="H68" s="47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</row>
    <row r="69" spans="1:49" x14ac:dyDescent="0.25">
      <c r="A69" s="140" t="s">
        <v>7</v>
      </c>
      <c r="B69" s="129" t="s">
        <v>123</v>
      </c>
      <c r="C69" s="96">
        <f>SUM(D69:G69)</f>
        <v>1</v>
      </c>
      <c r="D69" s="299">
        <v>0.20599999999999999</v>
      </c>
      <c r="E69" s="300">
        <v>0.32400000000000001</v>
      </c>
      <c r="F69" s="300">
        <v>0.27450000000000002</v>
      </c>
      <c r="G69" s="301">
        <v>0.19550000000000001</v>
      </c>
      <c r="H69" s="296" t="str">
        <f>IF(AND(SUM(D69:G69)&gt;0,C69&lt;&gt;1),"Сумма значений 1,2,3,4 кварталов должна равняться '1'","Проверка пройдена")</f>
        <v>Проверка пройдена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</row>
    <row r="70" spans="1:49" ht="15.75" thickBot="1" x14ac:dyDescent="0.3">
      <c r="A70" s="141" t="s">
        <v>5</v>
      </c>
      <c r="B70" s="121" t="s">
        <v>123</v>
      </c>
      <c r="C70" s="95">
        <f>SUM(D70:G70)</f>
        <v>1</v>
      </c>
      <c r="D70" s="302">
        <v>0</v>
      </c>
      <c r="E70" s="303">
        <v>0.111</v>
      </c>
      <c r="F70" s="303">
        <v>0.111</v>
      </c>
      <c r="G70" s="304">
        <v>0.77800000000000002</v>
      </c>
      <c r="H70" s="296" t="str">
        <f>IF(AND(SUM(D70:G70)&gt;0,C70&lt;&gt;1),"Сумма значений 1,2,3,4 кварталов должна равняться '1'","Проверка пройдена")</f>
        <v>Проверка пройдена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</row>
    <row r="71" spans="1:49" x14ac:dyDescent="0.25">
      <c r="A71" s="1"/>
      <c r="B71" s="7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4"/>
    </row>
    <row r="72" spans="1:49" x14ac:dyDescent="0.25">
      <c r="A72" s="143" t="s">
        <v>111</v>
      </c>
      <c r="B72" s="137"/>
      <c r="C72" s="8"/>
      <c r="D72" s="8"/>
      <c r="E72" s="8"/>
      <c r="F72" s="8"/>
      <c r="G72" s="8"/>
      <c r="H72" s="8"/>
      <c r="I72" s="8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</row>
    <row r="73" spans="1:49" x14ac:dyDescent="0.25">
      <c r="A73" s="144" t="s">
        <v>140</v>
      </c>
      <c r="B73" s="137"/>
      <c r="C73" s="8"/>
      <c r="D73" s="8"/>
      <c r="E73" s="8"/>
      <c r="F73" s="8"/>
      <c r="G73" s="8"/>
      <c r="H73" s="8"/>
      <c r="I73" s="8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</row>
    <row r="74" spans="1:49" ht="15.75" thickBot="1" x14ac:dyDescent="0.3">
      <c r="A74" s="144" t="s">
        <v>141</v>
      </c>
      <c r="B74" s="137"/>
      <c r="C74" s="8"/>
      <c r="D74" s="8"/>
      <c r="E74" s="8"/>
      <c r="F74" s="8"/>
      <c r="G74" s="8"/>
      <c r="H74" s="8"/>
      <c r="I74" s="8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</row>
    <row r="75" spans="1:49" x14ac:dyDescent="0.25">
      <c r="A75" s="463" t="s">
        <v>19</v>
      </c>
      <c r="B75" s="465" t="s">
        <v>20</v>
      </c>
      <c r="C75" s="467" t="str">
        <f>YEAR(Test_date)&amp;" год"</f>
        <v>2019 год</v>
      </c>
      <c r="D75" s="468"/>
      <c r="E75" s="468"/>
      <c r="F75" s="469"/>
      <c r="G75" s="462" t="str">
        <f>(LEFT(C75,4)+1)&amp;" год"</f>
        <v>2020 год</v>
      </c>
      <c r="H75" s="458"/>
      <c r="I75" s="458"/>
      <c r="J75" s="459"/>
      <c r="K75" s="462" t="str">
        <f>(LEFT(G75,4)+1)&amp;" год"</f>
        <v>2021 год</v>
      </c>
      <c r="L75" s="458"/>
      <c r="M75" s="458"/>
      <c r="N75" s="459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</row>
    <row r="76" spans="1:49" ht="15.75" thickBot="1" x14ac:dyDescent="0.3">
      <c r="A76" s="464"/>
      <c r="B76" s="466"/>
      <c r="C76" s="193">
        <v>1</v>
      </c>
      <c r="D76" s="194">
        <v>2</v>
      </c>
      <c r="E76" s="194">
        <v>3</v>
      </c>
      <c r="F76" s="195">
        <v>4</v>
      </c>
      <c r="G76" s="55" t="s">
        <v>0</v>
      </c>
      <c r="H76" s="45" t="s">
        <v>1</v>
      </c>
      <c r="I76" s="45" t="s">
        <v>2</v>
      </c>
      <c r="J76" s="46" t="s">
        <v>3</v>
      </c>
      <c r="K76" s="55" t="s">
        <v>0</v>
      </c>
      <c r="L76" s="45" t="s">
        <v>1</v>
      </c>
      <c r="M76" s="45" t="s">
        <v>2</v>
      </c>
      <c r="N76" s="46" t="s">
        <v>3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</row>
    <row r="77" spans="1:49" x14ac:dyDescent="0.25">
      <c r="A77" s="224" t="s">
        <v>21</v>
      </c>
      <c r="B77" s="225"/>
      <c r="C77" s="226"/>
      <c r="D77" s="226"/>
      <c r="E77" s="226"/>
      <c r="F77" s="226"/>
      <c r="G77" s="226"/>
      <c r="H77" s="226"/>
      <c r="I77" s="226"/>
      <c r="J77" s="226"/>
      <c r="K77" s="226"/>
      <c r="L77" s="226"/>
      <c r="M77" s="226"/>
      <c r="N77" s="227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</row>
    <row r="78" spans="1:49" x14ac:dyDescent="0.25">
      <c r="A78" s="107" t="s">
        <v>22</v>
      </c>
      <c r="B78" s="186" t="s">
        <v>118</v>
      </c>
      <c r="C78" s="181">
        <f>'2. Прогноз. Без корректировки'!C19</f>
        <v>18.3</v>
      </c>
      <c r="D78" s="182">
        <f>'2. Прогноз. Без корректировки'!D19</f>
        <v>14.4</v>
      </c>
      <c r="E78" s="182">
        <f>'2. Прогноз. Без корректировки'!E19</f>
        <v>22</v>
      </c>
      <c r="F78" s="183">
        <f>'2. Прогноз. Без корректировки'!F19</f>
        <v>2.9</v>
      </c>
      <c r="G78" s="181">
        <f>'2. Прогноз. Без корректировки'!H19</f>
        <v>18.149999999999999</v>
      </c>
      <c r="H78" s="182">
        <f>'2. Прогноз. Без корректировки'!I19</f>
        <v>14.2</v>
      </c>
      <c r="I78" s="182">
        <f>'2. Прогноз. Без корректировки'!J19</f>
        <v>21.7</v>
      </c>
      <c r="J78" s="183">
        <f>'2. Прогноз. Без корректировки'!K19</f>
        <v>2.7</v>
      </c>
      <c r="K78" s="181">
        <f>'2. Прогноз. Без корректировки'!M19</f>
        <v>18</v>
      </c>
      <c r="L78" s="182">
        <f>'2. Прогноз. Без корректировки'!N19</f>
        <v>14</v>
      </c>
      <c r="M78" s="182">
        <f>'2. Прогноз. Без корректировки'!O19</f>
        <v>21.4</v>
      </c>
      <c r="N78" s="183">
        <f>'2. Прогноз. Без корректировки'!P19</f>
        <v>2.5</v>
      </c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</row>
    <row r="79" spans="1:49" x14ac:dyDescent="0.25">
      <c r="A79" s="107" t="s">
        <v>23</v>
      </c>
      <c r="B79" s="187" t="s">
        <v>118</v>
      </c>
      <c r="C79" s="167">
        <f>'2. Прогноз. Без корректировки'!C33</f>
        <v>0.6</v>
      </c>
      <c r="D79" s="158">
        <f>'2. Прогноз. Без корректировки'!D33</f>
        <v>2.2000000000000002</v>
      </c>
      <c r="E79" s="158">
        <f>'2. Прогноз. Без корректировки'!E33</f>
        <v>4.8</v>
      </c>
      <c r="F79" s="168">
        <f>'2. Прогноз. Без корректировки'!F33</f>
        <v>2</v>
      </c>
      <c r="G79" s="167">
        <f>'2. Прогноз. Без корректировки'!H33</f>
        <v>0.6</v>
      </c>
      <c r="H79" s="158">
        <f>'2. Прогноз. Без корректировки'!I33</f>
        <v>2.2000000000000002</v>
      </c>
      <c r="I79" s="158">
        <f>'2. Прогноз. Без корректировки'!J33</f>
        <v>4.8</v>
      </c>
      <c r="J79" s="168">
        <f>'2. Прогноз. Без корректировки'!K33</f>
        <v>2</v>
      </c>
      <c r="K79" s="167">
        <f>'2. Прогноз. Без корректировки'!M33</f>
        <v>0.6</v>
      </c>
      <c r="L79" s="158">
        <f>'2. Прогноз. Без корректировки'!N33</f>
        <v>2.2000000000000002</v>
      </c>
      <c r="M79" s="158">
        <f>'2. Прогноз. Без корректировки'!O33</f>
        <v>4.8</v>
      </c>
      <c r="N79" s="168">
        <f>'2. Прогноз. Без корректировки'!P33</f>
        <v>2</v>
      </c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</row>
    <row r="80" spans="1:49" s="11" customFormat="1" ht="15.75" customHeight="1" x14ac:dyDescent="0.25">
      <c r="A80" s="107" t="s">
        <v>24</v>
      </c>
      <c r="B80" s="187" t="s">
        <v>118</v>
      </c>
      <c r="C80" s="167">
        <f>'2. Прогноз. Без корректировки'!C40</f>
        <v>1.6439999999999999</v>
      </c>
      <c r="D80" s="158">
        <f>'2. Прогноз. Без корректировки'!D40+C94</f>
        <v>1.3049999999999999</v>
      </c>
      <c r="E80" s="158">
        <f>'2. Прогноз. Без корректировки'!E40+D94</f>
        <v>2.46</v>
      </c>
      <c r="F80" s="168">
        <f>'2. Прогноз. Без корректировки'!F40+E94</f>
        <v>1.7589999999999999</v>
      </c>
      <c r="G80" s="167">
        <f>'2. Прогноз. Без корректировки'!H40+F94</f>
        <v>1.585</v>
      </c>
      <c r="H80" s="158">
        <f>'2. Прогноз. Без корректировки'!I40+G94</f>
        <v>1.3460000000000001</v>
      </c>
      <c r="I80" s="158">
        <f>'2. Прогноз. Без корректировки'!J40+H94</f>
        <v>2.5110000000000001</v>
      </c>
      <c r="J80" s="168">
        <f>'2. Прогноз. Без корректировки'!K40+I94</f>
        <v>1.841</v>
      </c>
      <c r="K80" s="167">
        <f>'2. Прогноз. Без корректировки'!M40+J94</f>
        <v>1.716</v>
      </c>
      <c r="L80" s="158">
        <f>'2. Прогноз. Без корректировки'!N40+K94</f>
        <v>1.5920000000000001</v>
      </c>
      <c r="M80" s="158">
        <f>'2. Прогноз. Без корректировки'!O40+L94</f>
        <v>2.7530000000000001</v>
      </c>
      <c r="N80" s="168">
        <f>'2. Прогноз. Без корректировки'!P40+M94</f>
        <v>2.0720000000000001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</row>
    <row r="81" spans="1:49" ht="13.5" customHeight="1" x14ac:dyDescent="0.25">
      <c r="A81" s="108" t="s">
        <v>25</v>
      </c>
      <c r="B81" s="184" t="s">
        <v>118</v>
      </c>
      <c r="C81" s="196">
        <f>(MIN(D61,I61,N61,S61,X61,AC61,AH61))</f>
        <v>1.105</v>
      </c>
      <c r="D81" s="197">
        <f>(MIN(E61,J61,O61,T61,Y61,AD61,AI61))</f>
        <v>0.72199999999999998</v>
      </c>
      <c r="E81" s="197">
        <f>(MIN(F61,K61,P61,U61,Z61,AE61,AJ61))</f>
        <v>0.94299999999999995</v>
      </c>
      <c r="F81" s="198">
        <f>(MIN(G61,L61,Q61,V61,AA61,AF61,AK61))</f>
        <v>1.6</v>
      </c>
      <c r="G81" s="196">
        <f t="shared" ref="G81:J81" si="11">(MIN(D61,I61,N61,S61,X61,AC61,AH61))</f>
        <v>1.105</v>
      </c>
      <c r="H81" s="197">
        <f t="shared" si="11"/>
        <v>0.72199999999999998</v>
      </c>
      <c r="I81" s="197">
        <f t="shared" si="11"/>
        <v>0.94299999999999995</v>
      </c>
      <c r="J81" s="305">
        <f t="shared" si="11"/>
        <v>1.6</v>
      </c>
      <c r="K81" s="307">
        <f>(MIN(D61,I61,N61,S61,X61,AC61,AH61))</f>
        <v>1.105</v>
      </c>
      <c r="L81" s="306">
        <f t="shared" ref="L81:N81" si="12">(MIN(E61,J61,O61,T61,Y61,AD61,AI61))</f>
        <v>0.72199999999999998</v>
      </c>
      <c r="M81" s="306">
        <f t="shared" si="12"/>
        <v>0.94299999999999995</v>
      </c>
      <c r="N81" s="308">
        <f t="shared" si="12"/>
        <v>1.6</v>
      </c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</row>
    <row r="82" spans="1:49" x14ac:dyDescent="0.25">
      <c r="A82" s="109" t="s">
        <v>26</v>
      </c>
      <c r="B82" s="228"/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69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</row>
    <row r="83" spans="1:49" ht="60" x14ac:dyDescent="0.25">
      <c r="A83" s="166" t="s">
        <v>27</v>
      </c>
      <c r="B83" s="188" t="s">
        <v>118</v>
      </c>
      <c r="C83" s="181">
        <f>IF(C80&lt;C81,-(C80-C81),0)</f>
        <v>0</v>
      </c>
      <c r="D83" s="182">
        <f t="shared" ref="D83:N83" si="13">IF(D80&lt;D81,-(D80-D81),0)</f>
        <v>0</v>
      </c>
      <c r="E83" s="182">
        <f t="shared" si="13"/>
        <v>0</v>
      </c>
      <c r="F83" s="183">
        <f t="shared" si="13"/>
        <v>0</v>
      </c>
      <c r="G83" s="181">
        <f t="shared" si="13"/>
        <v>0</v>
      </c>
      <c r="H83" s="182">
        <f t="shared" si="13"/>
        <v>0</v>
      </c>
      <c r="I83" s="182">
        <f t="shared" si="13"/>
        <v>0</v>
      </c>
      <c r="J83" s="183">
        <f t="shared" si="13"/>
        <v>0</v>
      </c>
      <c r="K83" s="181">
        <f t="shared" si="13"/>
        <v>0</v>
      </c>
      <c r="L83" s="182">
        <f t="shared" si="13"/>
        <v>0</v>
      </c>
      <c r="M83" s="182">
        <f t="shared" si="13"/>
        <v>0</v>
      </c>
      <c r="N83" s="199">
        <f t="shared" si="13"/>
        <v>0</v>
      </c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</row>
    <row r="84" spans="1:49" ht="30" x14ac:dyDescent="0.25">
      <c r="A84" s="166" t="s">
        <v>79</v>
      </c>
      <c r="B84" s="188" t="s">
        <v>118</v>
      </c>
      <c r="C84" s="167">
        <f t="shared" ref="C84:N84" si="14">IF(C80&gt;C81,C80-C81,0)</f>
        <v>0.53899999999999992</v>
      </c>
      <c r="D84" s="158">
        <f t="shared" si="14"/>
        <v>0.58299999999999996</v>
      </c>
      <c r="E84" s="158">
        <f t="shared" si="14"/>
        <v>1.5169999999999999</v>
      </c>
      <c r="F84" s="168">
        <f t="shared" si="14"/>
        <v>0.15899999999999981</v>
      </c>
      <c r="G84" s="167">
        <f t="shared" si="14"/>
        <v>0.48</v>
      </c>
      <c r="H84" s="158">
        <f t="shared" si="14"/>
        <v>0.62400000000000011</v>
      </c>
      <c r="I84" s="158">
        <f t="shared" si="14"/>
        <v>1.5680000000000001</v>
      </c>
      <c r="J84" s="168">
        <f t="shared" si="14"/>
        <v>0.24099999999999988</v>
      </c>
      <c r="K84" s="167">
        <f t="shared" si="14"/>
        <v>0.61099999999999999</v>
      </c>
      <c r="L84" s="158">
        <f>IF(L80&gt;L81,L80-L81,0)</f>
        <v>0.87000000000000011</v>
      </c>
      <c r="M84" s="158">
        <f>IF(M80&gt;M81,M80-M81,0)</f>
        <v>1.81</v>
      </c>
      <c r="N84" s="168">
        <f t="shared" si="14"/>
        <v>0.47199999999999998</v>
      </c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</row>
    <row r="85" spans="1:49" x14ac:dyDescent="0.25">
      <c r="A85" s="110" t="s">
        <v>80</v>
      </c>
      <c r="B85" s="187" t="s">
        <v>118</v>
      </c>
      <c r="C85" s="167">
        <f>-MIN(C78,C84,0)</f>
        <v>0</v>
      </c>
      <c r="D85" s="158">
        <f>-MIN(D78,D84,C92)</f>
        <v>0</v>
      </c>
      <c r="E85" s="158">
        <f>-MIN(E78,E84,D92)</f>
        <v>0</v>
      </c>
      <c r="F85" s="168">
        <f>-MIN(F78,F84,E92)</f>
        <v>0</v>
      </c>
      <c r="G85" s="167">
        <f>-MIN(G78,G84,0)</f>
        <v>0</v>
      </c>
      <c r="H85" s="158">
        <f>-MIN(H78,H84,G92)</f>
        <v>0</v>
      </c>
      <c r="I85" s="158">
        <f>-MIN(I78,I84,H92)</f>
        <v>0</v>
      </c>
      <c r="J85" s="168">
        <f>-MIN(J78,J84,I92)</f>
        <v>0</v>
      </c>
      <c r="K85" s="167">
        <f>-MIN(K78,K84,0)</f>
        <v>0</v>
      </c>
      <c r="L85" s="158">
        <f>-MIN(L78,L84,K92)</f>
        <v>0</v>
      </c>
      <c r="M85" s="158">
        <f>-MIN(M78,M84,L92)</f>
        <v>0</v>
      </c>
      <c r="N85" s="168">
        <f>-MIN(N78,N84,M92)</f>
        <v>0</v>
      </c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</row>
    <row r="86" spans="1:49" x14ac:dyDescent="0.25">
      <c r="A86" s="110" t="s">
        <v>81</v>
      </c>
      <c r="B86" s="187" t="s">
        <v>118</v>
      </c>
      <c r="C86" s="200">
        <f>MIN(C84+C85,0)</f>
        <v>0</v>
      </c>
      <c r="D86" s="201">
        <f>MIN(D84+D85,-C93)</f>
        <v>0</v>
      </c>
      <c r="E86" s="201">
        <f>MIN(E84+E85,-D93)</f>
        <v>0</v>
      </c>
      <c r="F86" s="202">
        <f>MIN(F84+F85,-E93)</f>
        <v>0</v>
      </c>
      <c r="G86" s="200">
        <f>MIN(G84+G85,0)</f>
        <v>0</v>
      </c>
      <c r="H86" s="201">
        <f>MIN(H84+H85,-G93)</f>
        <v>0</v>
      </c>
      <c r="I86" s="201">
        <f>MIN(I84+I85,-H93)</f>
        <v>0</v>
      </c>
      <c r="J86" s="202">
        <f>MIN(J84+J85,-I93)</f>
        <v>0</v>
      </c>
      <c r="K86" s="200">
        <f>MIN(K84+K85,0)</f>
        <v>0</v>
      </c>
      <c r="L86" s="201">
        <f>MIN(L84+L85,-K93)</f>
        <v>0</v>
      </c>
      <c r="M86" s="201">
        <f>MIN(M84+M85,-L93)</f>
        <v>0</v>
      </c>
      <c r="N86" s="202">
        <f>MIN(N84+N85,-M93)</f>
        <v>0</v>
      </c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</row>
    <row r="87" spans="1:49" x14ac:dyDescent="0.25">
      <c r="A87" s="109" t="s">
        <v>28</v>
      </c>
      <c r="B87" s="228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90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</row>
    <row r="88" spans="1:49" x14ac:dyDescent="0.25">
      <c r="A88" s="107" t="s">
        <v>29</v>
      </c>
      <c r="B88" s="187" t="s">
        <v>118</v>
      </c>
      <c r="C88" s="203">
        <f t="shared" ref="C88:N88" si="15">C78+C83-(C79-(C89-C86))+C85</f>
        <v>18.3</v>
      </c>
      <c r="D88" s="204">
        <f t="shared" si="15"/>
        <v>14.4</v>
      </c>
      <c r="E88" s="204">
        <f t="shared" si="15"/>
        <v>22</v>
      </c>
      <c r="F88" s="205">
        <f t="shared" si="15"/>
        <v>2.9</v>
      </c>
      <c r="G88" s="203">
        <f t="shared" si="15"/>
        <v>18.149999999999999</v>
      </c>
      <c r="H88" s="204">
        <f t="shared" si="15"/>
        <v>14.2</v>
      </c>
      <c r="I88" s="192">
        <f>I78+I83-(I79-(I89-I86))+I85</f>
        <v>21.7</v>
      </c>
      <c r="J88" s="205">
        <f t="shared" si="15"/>
        <v>2.7</v>
      </c>
      <c r="K88" s="203">
        <f t="shared" si="15"/>
        <v>18</v>
      </c>
      <c r="L88" s="204">
        <f>L78+L83-(L79-(L89-L86))+L85</f>
        <v>14</v>
      </c>
      <c r="M88" s="204">
        <f>M78+M83-(M79-(M89-M86))+M85</f>
        <v>21.4</v>
      </c>
      <c r="N88" s="206">
        <f t="shared" si="15"/>
        <v>2.5</v>
      </c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</row>
    <row r="89" spans="1:49" x14ac:dyDescent="0.25">
      <c r="A89" s="107" t="s">
        <v>30</v>
      </c>
      <c r="B89" s="187" t="s">
        <v>118</v>
      </c>
      <c r="C89" s="170">
        <f t="shared" ref="C89:N89" si="16">IF(C79&gt;=0.5*C83,C79-0.5*C83,0)+C86</f>
        <v>0.6</v>
      </c>
      <c r="D89" s="171">
        <f t="shared" si="16"/>
        <v>2.2000000000000002</v>
      </c>
      <c r="E89" s="171">
        <f t="shared" si="16"/>
        <v>4.8</v>
      </c>
      <c r="F89" s="172">
        <f t="shared" si="16"/>
        <v>2</v>
      </c>
      <c r="G89" s="170">
        <f t="shared" si="16"/>
        <v>0.6</v>
      </c>
      <c r="H89" s="171">
        <f t="shared" si="16"/>
        <v>2.2000000000000002</v>
      </c>
      <c r="I89" s="171">
        <f t="shared" si="16"/>
        <v>4.8</v>
      </c>
      <c r="J89" s="205">
        <f t="shared" si="16"/>
        <v>2</v>
      </c>
      <c r="K89" s="170">
        <f>IF(K79&gt;=0.5*K83,K79-0.5*K83,0)+K86</f>
        <v>0.6</v>
      </c>
      <c r="L89" s="171">
        <f>IF(L79&gt;=0.5*L83,L79-0.5*L83,0)+L86</f>
        <v>2.2000000000000002</v>
      </c>
      <c r="M89" s="171">
        <f>IF(M79&gt;=0.5*M83,M79-0.5*M83,0)+M86</f>
        <v>4.8</v>
      </c>
      <c r="N89" s="172">
        <f t="shared" si="16"/>
        <v>2</v>
      </c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</row>
    <row r="90" spans="1:49" x14ac:dyDescent="0.25">
      <c r="A90" s="107" t="s">
        <v>31</v>
      </c>
      <c r="B90" s="187" t="s">
        <v>118</v>
      </c>
      <c r="C90" s="200">
        <f t="shared" ref="C90:N90" si="17">C80+C83-C86+C85</f>
        <v>1.6439999999999999</v>
      </c>
      <c r="D90" s="201">
        <f t="shared" si="17"/>
        <v>1.3049999999999999</v>
      </c>
      <c r="E90" s="201">
        <f t="shared" si="17"/>
        <v>2.46</v>
      </c>
      <c r="F90" s="202">
        <f t="shared" si="17"/>
        <v>1.7589999999999999</v>
      </c>
      <c r="G90" s="200">
        <f t="shared" si="17"/>
        <v>1.585</v>
      </c>
      <c r="H90" s="201">
        <f t="shared" si="17"/>
        <v>1.3460000000000001</v>
      </c>
      <c r="I90" s="201">
        <f t="shared" si="17"/>
        <v>2.5110000000000001</v>
      </c>
      <c r="J90" s="202">
        <f t="shared" si="17"/>
        <v>1.841</v>
      </c>
      <c r="K90" s="200">
        <f t="shared" si="17"/>
        <v>1.716</v>
      </c>
      <c r="L90" s="201">
        <f>L80+L83-L86+L85</f>
        <v>1.5920000000000001</v>
      </c>
      <c r="M90" s="201">
        <f>M80+M83-M86+M85</f>
        <v>2.7530000000000001</v>
      </c>
      <c r="N90" s="202">
        <f t="shared" si="17"/>
        <v>2.0720000000000001</v>
      </c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</row>
    <row r="91" spans="1:49" x14ac:dyDescent="0.25">
      <c r="A91" s="278" t="s">
        <v>32</v>
      </c>
      <c r="B91" s="239"/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90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</row>
    <row r="92" spans="1:49" x14ac:dyDescent="0.25">
      <c r="A92" s="107" t="s">
        <v>33</v>
      </c>
      <c r="B92" s="187" t="s">
        <v>118</v>
      </c>
      <c r="C92" s="181">
        <f>C88-C78</f>
        <v>0</v>
      </c>
      <c r="D92" s="182">
        <f t="shared" ref="D92:F94" si="18">D88-D78+C92</f>
        <v>0</v>
      </c>
      <c r="E92" s="182">
        <f t="shared" si="18"/>
        <v>0</v>
      </c>
      <c r="F92" s="183">
        <f t="shared" si="18"/>
        <v>0</v>
      </c>
      <c r="G92" s="181">
        <f>G88-G78</f>
        <v>0</v>
      </c>
      <c r="H92" s="182">
        <f t="shared" ref="H92:L94" si="19">H88-H78+G92</f>
        <v>0</v>
      </c>
      <c r="I92" s="182">
        <f t="shared" si="19"/>
        <v>0</v>
      </c>
      <c r="J92" s="183">
        <f t="shared" si="19"/>
        <v>0</v>
      </c>
      <c r="K92" s="181">
        <f>K88-K78</f>
        <v>0</v>
      </c>
      <c r="L92" s="182">
        <f t="shared" si="19"/>
        <v>0</v>
      </c>
      <c r="M92" s="182">
        <f t="shared" ref="M92:N94" si="20">M88-M78+L92</f>
        <v>0</v>
      </c>
      <c r="N92" s="183">
        <f t="shared" si="20"/>
        <v>0</v>
      </c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</row>
    <row r="93" spans="1:49" x14ac:dyDescent="0.25">
      <c r="A93" s="107" t="s">
        <v>34</v>
      </c>
      <c r="B93" s="187" t="s">
        <v>118</v>
      </c>
      <c r="C93" s="167">
        <f>C89-C79</f>
        <v>0</v>
      </c>
      <c r="D93" s="158">
        <f t="shared" si="18"/>
        <v>0</v>
      </c>
      <c r="E93" s="158">
        <f t="shared" si="18"/>
        <v>0</v>
      </c>
      <c r="F93" s="168">
        <f t="shared" si="18"/>
        <v>0</v>
      </c>
      <c r="G93" s="167">
        <f>G89-G79</f>
        <v>0</v>
      </c>
      <c r="H93" s="158">
        <f t="shared" si="19"/>
        <v>0</v>
      </c>
      <c r="I93" s="158">
        <f t="shared" si="19"/>
        <v>0</v>
      </c>
      <c r="J93" s="168">
        <f t="shared" si="19"/>
        <v>0</v>
      </c>
      <c r="K93" s="167">
        <f>K89-K79</f>
        <v>0</v>
      </c>
      <c r="L93" s="158">
        <f t="shared" si="19"/>
        <v>0</v>
      </c>
      <c r="M93" s="158">
        <f t="shared" si="20"/>
        <v>0</v>
      </c>
      <c r="N93" s="168">
        <f t="shared" si="20"/>
        <v>0</v>
      </c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</row>
    <row r="94" spans="1:49" ht="15.75" thickBot="1" x14ac:dyDescent="0.3">
      <c r="A94" s="111" t="s">
        <v>35</v>
      </c>
      <c r="B94" s="189" t="s">
        <v>118</v>
      </c>
      <c r="C94" s="207">
        <f>C90-C80</f>
        <v>0</v>
      </c>
      <c r="D94" s="208">
        <f t="shared" si="18"/>
        <v>0</v>
      </c>
      <c r="E94" s="208">
        <f t="shared" si="18"/>
        <v>0</v>
      </c>
      <c r="F94" s="209">
        <f t="shared" si="18"/>
        <v>0</v>
      </c>
      <c r="G94" s="173">
        <f>G90-G80+F94</f>
        <v>0</v>
      </c>
      <c r="H94" s="174">
        <f t="shared" si="19"/>
        <v>0</v>
      </c>
      <c r="I94" s="174">
        <f t="shared" si="19"/>
        <v>0</v>
      </c>
      <c r="J94" s="175">
        <f t="shared" si="19"/>
        <v>0</v>
      </c>
      <c r="K94" s="173">
        <f>K90-K80+J94</f>
        <v>0</v>
      </c>
      <c r="L94" s="174">
        <f t="shared" si="19"/>
        <v>0</v>
      </c>
      <c r="M94" s="174">
        <f>M90-M80+L94</f>
        <v>0</v>
      </c>
      <c r="N94" s="175">
        <f t="shared" si="20"/>
        <v>0</v>
      </c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</row>
    <row r="453" spans="3:52" x14ac:dyDescent="0.25">
      <c r="C453" s="4">
        <v>20</v>
      </c>
      <c r="D453" s="4">
        <v>21</v>
      </c>
      <c r="E453" s="4">
        <v>22</v>
      </c>
      <c r="F453" s="4">
        <v>23</v>
      </c>
      <c r="G453" s="4">
        <v>24</v>
      </c>
      <c r="H453" s="4">
        <v>25</v>
      </c>
      <c r="I453" s="4">
        <v>26</v>
      </c>
      <c r="J453" s="4">
        <v>27</v>
      </c>
      <c r="K453" s="4">
        <v>28</v>
      </c>
      <c r="L453" s="4">
        <v>29</v>
      </c>
      <c r="M453" s="4">
        <v>30</v>
      </c>
      <c r="N453" s="4">
        <v>31</v>
      </c>
      <c r="O453" s="4">
        <v>32</v>
      </c>
      <c r="P453" s="4">
        <v>33</v>
      </c>
      <c r="Q453" s="4">
        <v>34</v>
      </c>
      <c r="R453" s="4">
        <v>35</v>
      </c>
      <c r="S453" s="4">
        <v>36</v>
      </c>
      <c r="T453" s="4">
        <v>37</v>
      </c>
      <c r="U453" s="4">
        <v>38</v>
      </c>
      <c r="V453" s="4">
        <v>39</v>
      </c>
      <c r="W453" s="4">
        <v>40</v>
      </c>
      <c r="X453" s="4">
        <v>41</v>
      </c>
      <c r="AY453" t="s">
        <v>57</v>
      </c>
      <c r="AZ453" t="s">
        <v>56</v>
      </c>
    </row>
  </sheetData>
  <sheetProtection algorithmName="SHA-512" hashValue="Ld2LUEXkkQbvei3RWbuV1HIIb/Ma+dIjJpN2PqMB7KoLKKuDyJuMKJXgajtH6w0wVyv8FfnUzvBQVjmMCRaI2g==" saltValue="qcUZzPz1yOekZFcI4QspIQ==" spinCount="100000" sheet="1" objects="1" scenarios="1"/>
  <mergeCells count="34">
    <mergeCell ref="A38:A39"/>
    <mergeCell ref="A59:A60"/>
    <mergeCell ref="B59:B60"/>
    <mergeCell ref="C59:C60"/>
    <mergeCell ref="D59:G59"/>
    <mergeCell ref="B38:B39"/>
    <mergeCell ref="D38:G38"/>
    <mergeCell ref="C38:C39"/>
    <mergeCell ref="W59:W60"/>
    <mergeCell ref="A75:A76"/>
    <mergeCell ref="B75:B76"/>
    <mergeCell ref="C75:F75"/>
    <mergeCell ref="G75:J75"/>
    <mergeCell ref="K75:N75"/>
    <mergeCell ref="A67:A68"/>
    <mergeCell ref="B67:B68"/>
    <mergeCell ref="C67:C68"/>
    <mergeCell ref="D67:G67"/>
    <mergeCell ref="S59:V59"/>
    <mergeCell ref="R59:R60"/>
    <mergeCell ref="H67:H68"/>
    <mergeCell ref="AH59:AK59"/>
    <mergeCell ref="X59:AA59"/>
    <mergeCell ref="AB59:AB60"/>
    <mergeCell ref="AC59:AF59"/>
    <mergeCell ref="AG59:AG60"/>
    <mergeCell ref="M38:M39"/>
    <mergeCell ref="N38:Q38"/>
    <mergeCell ref="I38:L38"/>
    <mergeCell ref="H38:H39"/>
    <mergeCell ref="I59:L59"/>
    <mergeCell ref="M59:M60"/>
    <mergeCell ref="N59:Q59"/>
    <mergeCell ref="H59:H60"/>
  </mergeCells>
  <phoneticPr fontId="18" type="noConversion"/>
  <dataValidations count="6">
    <dataValidation type="list" allowBlank="1" showInputMessage="1" showErrorMessage="1" sqref="I1">
      <formula1>Продукт</formula1>
      <formula2>0</formula2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C10:H12 C13:E13 C18:E23 C25:E28">
      <formula1>-1000000</formula1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I34:L34 I41:L50 E41:G50 M44 D34:G34 C44 N34:Q34 H44 D69:G70 D40:D50 N41:Q50">
      <formula1>-1000000000</formula1>
    </dataValidation>
    <dataValidation type="decimal" operator="greaterThan" allowBlank="1" showInputMessage="1" showErrorMessage="1" sqref="D61:G61">
      <formula1>-10000000000000</formula1>
    </dataValidation>
    <dataValidation type="decimal" operator="greaterThan" allowBlank="1" showInputMessage="1" showErrorMessage="1" sqref="I61:L61 N61:Q61">
      <formula1>-100000000</formula1>
    </dataValidation>
    <dataValidation type="decimal" operator="greaterThan" allowBlank="1" showInputMessage="1" showErrorMessage="1" sqref="S61:V61">
      <formula1>-1000000000</formula1>
    </dataValidation>
  </dataValidations>
  <pageMargins left="0.7" right="0.7" top="0.75" bottom="0.75" header="0.3" footer="0.3"/>
  <pageSetup paperSize="9" firstPageNumber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/>
  </sheetPr>
  <dimension ref="A1:W170"/>
  <sheetViews>
    <sheetView showGridLines="0" tabSelected="1" view="pageBreakPreview" zoomScale="60" zoomScaleNormal="100" workbookViewId="0">
      <pane xSplit="2" ySplit="8" topLeftCell="J9" activePane="bottomRight" state="frozen"/>
      <selection pane="topRight" activeCell="C1" sqref="C1"/>
      <selection pane="bottomLeft" activeCell="A9" sqref="A9"/>
      <selection pane="bottomRight" activeCell="A45" sqref="A45"/>
    </sheetView>
  </sheetViews>
  <sheetFormatPr defaultColWidth="8.5703125" defaultRowHeight="15" outlineLevelRow="1" outlineLevelCol="1" x14ac:dyDescent="0.25"/>
  <cols>
    <col min="1" max="1" width="56.28515625" style="9" customWidth="1"/>
    <col min="2" max="2" width="10.5703125" style="18" customWidth="1"/>
    <col min="3" max="6" width="13.7109375" style="18" customWidth="1" outlineLevel="1"/>
    <col min="7" max="7" width="13.7109375" style="18" customWidth="1"/>
    <col min="8" max="11" width="13.7109375" style="18" customWidth="1" outlineLevel="1"/>
    <col min="12" max="12" width="13.7109375" style="18" customWidth="1"/>
    <col min="13" max="16" width="13.7109375" style="18" customWidth="1" outlineLevel="1"/>
    <col min="17" max="17" width="13.7109375" style="18" customWidth="1"/>
    <col min="18" max="18" width="9.42578125" customWidth="1"/>
    <col min="19" max="19" width="35.28515625" customWidth="1"/>
    <col min="20" max="20" width="10.42578125" customWidth="1"/>
  </cols>
  <sheetData>
    <row r="1" spans="1:23" ht="15" customHeight="1" x14ac:dyDescent="0.25">
      <c r="A1" s="13"/>
      <c r="B1" s="14" t="s">
        <v>10</v>
      </c>
      <c r="R1" s="4"/>
    </row>
    <row r="2" spans="1:23" ht="15" customHeight="1" x14ac:dyDescent="0.25">
      <c r="A2" s="12" t="s">
        <v>9</v>
      </c>
      <c r="B2" s="34"/>
    </row>
    <row r="3" spans="1:23" ht="15" customHeight="1" x14ac:dyDescent="0.25">
      <c r="A3" s="75" t="s">
        <v>124</v>
      </c>
      <c r="B3" s="159"/>
    </row>
    <row r="4" spans="1:23" ht="15" customHeight="1" x14ac:dyDescent="0.25">
      <c r="A4" s="12" t="s">
        <v>53</v>
      </c>
      <c r="B4" s="36"/>
    </row>
    <row r="5" spans="1:23" ht="15" customHeight="1" x14ac:dyDescent="0.25">
      <c r="A5" s="165" t="s">
        <v>54</v>
      </c>
      <c r="B5" s="322"/>
      <c r="E5" s="33"/>
      <c r="F5" s="33"/>
      <c r="L5" s="33"/>
      <c r="R5" s="51"/>
      <c r="S5" s="51"/>
      <c r="T5" s="51"/>
      <c r="U5" s="51"/>
      <c r="V5" s="51"/>
      <c r="W5" s="51"/>
    </row>
    <row r="6" spans="1:23" ht="15" customHeight="1" thickBot="1" x14ac:dyDescent="0.3">
      <c r="R6" s="51"/>
      <c r="S6" s="51"/>
      <c r="T6" s="51"/>
      <c r="U6" s="51"/>
      <c r="V6" s="51"/>
      <c r="W6" s="51"/>
    </row>
    <row r="7" spans="1:23" ht="15" customHeight="1" x14ac:dyDescent="0.25">
      <c r="A7" s="482" t="s">
        <v>15</v>
      </c>
      <c r="B7" s="484" t="s">
        <v>36</v>
      </c>
      <c r="C7" s="477" t="str">
        <f>YEAR(Date)&amp;" год"</f>
        <v>2019 год</v>
      </c>
      <c r="D7" s="478"/>
      <c r="E7" s="478"/>
      <c r="F7" s="479"/>
      <c r="G7" s="480" t="str">
        <f>C7</f>
        <v>2019 год</v>
      </c>
      <c r="H7" s="477" t="str">
        <f>(LEFT(C7,4)+1)&amp;" год"</f>
        <v>2020 год</v>
      </c>
      <c r="I7" s="478"/>
      <c r="J7" s="478"/>
      <c r="K7" s="479"/>
      <c r="L7" s="480" t="str">
        <f>H7</f>
        <v>2020 год</v>
      </c>
      <c r="M7" s="477" t="str">
        <f>(LEFT(H7,4)+1)&amp;" год"</f>
        <v>2021 год</v>
      </c>
      <c r="N7" s="478"/>
      <c r="O7" s="478"/>
      <c r="P7" s="479"/>
      <c r="Q7" s="480" t="str">
        <f>M7</f>
        <v>2021 год</v>
      </c>
      <c r="R7" s="51"/>
      <c r="S7" s="114"/>
      <c r="T7" s="114"/>
      <c r="U7" s="51"/>
      <c r="V7" s="51"/>
      <c r="W7" s="51"/>
    </row>
    <row r="8" spans="1:23" ht="15" customHeight="1" thickBot="1" x14ac:dyDescent="0.3">
      <c r="A8" s="483"/>
      <c r="B8" s="485"/>
      <c r="C8" s="426">
        <v>1</v>
      </c>
      <c r="D8" s="427">
        <v>2</v>
      </c>
      <c r="E8" s="427">
        <v>3</v>
      </c>
      <c r="F8" s="428">
        <v>4</v>
      </c>
      <c r="G8" s="481"/>
      <c r="H8" s="426">
        <v>1</v>
      </c>
      <c r="I8" s="427">
        <v>2</v>
      </c>
      <c r="J8" s="427">
        <v>3</v>
      </c>
      <c r="K8" s="428">
        <v>4</v>
      </c>
      <c r="L8" s="481"/>
      <c r="M8" s="426">
        <v>1</v>
      </c>
      <c r="N8" s="427">
        <v>2</v>
      </c>
      <c r="O8" s="427">
        <v>3</v>
      </c>
      <c r="P8" s="428">
        <v>4</v>
      </c>
      <c r="Q8" s="481"/>
      <c r="R8" s="51"/>
      <c r="S8" s="114"/>
      <c r="T8" s="114"/>
      <c r="U8" s="51"/>
      <c r="V8" s="51"/>
      <c r="W8" s="51"/>
    </row>
    <row r="9" spans="1:23" s="114" customFormat="1" ht="15" customHeight="1" x14ac:dyDescent="0.25">
      <c r="A9" s="323" t="s">
        <v>38</v>
      </c>
      <c r="B9" s="324" t="s">
        <v>118</v>
      </c>
      <c r="C9" s="325">
        <f>ROUND(G9,3)</f>
        <v>1.8540000000000001</v>
      </c>
      <c r="D9" s="326">
        <f>ROUND(C40,3)</f>
        <v>1.6439999999999999</v>
      </c>
      <c r="E9" s="326">
        <f>ROUND(D40,3)</f>
        <v>1.3049999999999999</v>
      </c>
      <c r="F9" s="327">
        <f>ROUND(E40,3)</f>
        <v>2.46</v>
      </c>
      <c r="G9" s="328">
        <f>ROUND('1. Статистика'!AK61,3)</f>
        <v>1.8540000000000001</v>
      </c>
      <c r="H9" s="325">
        <f>ROUND(L9,3)</f>
        <v>1.7589999999999999</v>
      </c>
      <c r="I9" s="326">
        <f>ROUND(H40,3)</f>
        <v>1.585</v>
      </c>
      <c r="J9" s="326">
        <f>ROUND(I40,3)</f>
        <v>1.3460000000000001</v>
      </c>
      <c r="K9" s="327">
        <f>ROUND(J40,3)</f>
        <v>2.5110000000000001</v>
      </c>
      <c r="L9" s="328">
        <f>ROUND(F40,3)</f>
        <v>1.7589999999999999</v>
      </c>
      <c r="M9" s="325">
        <f>ROUND(Q9,3)</f>
        <v>1.841</v>
      </c>
      <c r="N9" s="326">
        <f>ROUND(M40,3)</f>
        <v>1.716</v>
      </c>
      <c r="O9" s="326">
        <f>ROUND(N40,3)</f>
        <v>1.5920000000000001</v>
      </c>
      <c r="P9" s="327">
        <f>ROUND(O40,3)</f>
        <v>2.7530000000000001</v>
      </c>
      <c r="Q9" s="328">
        <f>ROUND(K40,3)</f>
        <v>1.841</v>
      </c>
    </row>
    <row r="10" spans="1:23" s="11" customFormat="1" ht="15" customHeight="1" x14ac:dyDescent="0.25">
      <c r="A10" s="329" t="s">
        <v>121</v>
      </c>
      <c r="B10" s="330" t="s">
        <v>118</v>
      </c>
      <c r="C10" s="283">
        <f t="shared" ref="C10:Q10" si="0">ROUND(C11+C18,3)</f>
        <v>36.49</v>
      </c>
      <c r="D10" s="284">
        <f t="shared" si="0"/>
        <v>57.395000000000003</v>
      </c>
      <c r="E10" s="284">
        <f t="shared" si="0"/>
        <v>48.539000000000001</v>
      </c>
      <c r="F10" s="284">
        <f t="shared" si="0"/>
        <v>34.637999999999998</v>
      </c>
      <c r="G10" s="160">
        <f t="shared" si="0"/>
        <v>177.06200000000001</v>
      </c>
      <c r="H10" s="283">
        <f t="shared" si="0"/>
        <v>36.676000000000002</v>
      </c>
      <c r="I10" s="283">
        <f t="shared" si="0"/>
        <v>57.688000000000002</v>
      </c>
      <c r="J10" s="283">
        <f t="shared" si="0"/>
        <v>48.841000000000001</v>
      </c>
      <c r="K10" s="283">
        <f t="shared" si="0"/>
        <v>34.814</v>
      </c>
      <c r="L10" s="160">
        <f t="shared" si="0"/>
        <v>178.01900000000001</v>
      </c>
      <c r="M10" s="283">
        <f t="shared" si="0"/>
        <v>36.875</v>
      </c>
      <c r="N10" s="283">
        <f t="shared" si="0"/>
        <v>58.003</v>
      </c>
      <c r="O10" s="283">
        <f t="shared" si="0"/>
        <v>49.137</v>
      </c>
      <c r="P10" s="283">
        <f t="shared" si="0"/>
        <v>35.003</v>
      </c>
      <c r="Q10" s="160">
        <f t="shared" si="0"/>
        <v>179.018</v>
      </c>
      <c r="R10" s="115"/>
      <c r="S10" s="115"/>
      <c r="T10" s="115"/>
      <c r="U10" s="115"/>
      <c r="V10" s="115"/>
      <c r="W10" s="115"/>
    </row>
    <row r="11" spans="1:23" s="11" customFormat="1" ht="15" customHeight="1" outlineLevel="1" x14ac:dyDescent="0.25">
      <c r="A11" s="331" t="s">
        <v>119</v>
      </c>
      <c r="B11" s="332" t="s">
        <v>118</v>
      </c>
      <c r="C11" s="333">
        <f>ROUND('1. Статистика'!D69*$G$11,3)</f>
        <v>36.340000000000003</v>
      </c>
      <c r="D11" s="333">
        <f>ROUND(G11-(C11+E11+F11),3)</f>
        <v>57.155000000000001</v>
      </c>
      <c r="E11" s="333">
        <f>ROUND('1. Статистика'!F69*$G$11,3)</f>
        <v>48.423999999999999</v>
      </c>
      <c r="F11" s="333">
        <f>ROUND('1. Статистика'!G69*$G$11,3)</f>
        <v>34.488</v>
      </c>
      <c r="G11" s="334">
        <f>ROUND((G12*G15+G13*G16+G14*G17)/1000,3)</f>
        <v>176.40700000000001</v>
      </c>
      <c r="H11" s="333">
        <f>ROUND('1. Статистика'!D69*$L$11,3)</f>
        <v>36.526000000000003</v>
      </c>
      <c r="I11" s="333">
        <f>ROUND(L11-(H11+J11+K11),3)</f>
        <v>57.448</v>
      </c>
      <c r="J11" s="333">
        <f>ROUND('1. Статистика'!F69*$L$11,3)</f>
        <v>48.670999999999999</v>
      </c>
      <c r="K11" s="333">
        <f>ROUND('1. Статистика'!G69*$L$11,3)</f>
        <v>34.664000000000001</v>
      </c>
      <c r="L11" s="334">
        <f>ROUND((L12*L15+L13*L16+L14*L17)/1000,3)</f>
        <v>177.309</v>
      </c>
      <c r="M11" s="333">
        <f>ROUND('1. Статистика'!D69*$Q$11,3)</f>
        <v>36.725000000000001</v>
      </c>
      <c r="N11" s="333">
        <f>ROUND(Q11-(M11+O11+P11),3)</f>
        <v>57.762999999999998</v>
      </c>
      <c r="O11" s="333">
        <f>ROUND('1. Статистика'!F69*$Q$11,3)</f>
        <v>48.936999999999998</v>
      </c>
      <c r="P11" s="333">
        <f>ROUND('1. Статистика'!G69*$Q$11,3)</f>
        <v>34.853000000000002</v>
      </c>
      <c r="Q11" s="334">
        <f>ROUND((Q12*Q15+Q13*Q16+Q14*Q17)/1000,3)</f>
        <v>178.27799999999999</v>
      </c>
      <c r="R11" s="115"/>
      <c r="S11" s="115"/>
      <c r="T11" s="115"/>
      <c r="U11" s="115"/>
      <c r="V11" s="115"/>
      <c r="W11" s="115"/>
    </row>
    <row r="12" spans="1:23" s="11" customFormat="1" ht="15" customHeight="1" outlineLevel="1" x14ac:dyDescent="0.25">
      <c r="A12" s="335" t="s">
        <v>83</v>
      </c>
      <c r="B12" s="336" t="s">
        <v>106</v>
      </c>
      <c r="C12" s="337"/>
      <c r="D12" s="338"/>
      <c r="E12" s="338"/>
      <c r="F12" s="339"/>
      <c r="G12" s="340">
        <f>ROUND('1. Статистика'!F10,3)</f>
        <v>0.246</v>
      </c>
      <c r="H12" s="337"/>
      <c r="I12" s="338"/>
      <c r="J12" s="338"/>
      <c r="K12" s="339"/>
      <c r="L12" s="340">
        <f>ROUND('1. Статистика'!G10,3)</f>
        <v>0.246</v>
      </c>
      <c r="M12" s="337"/>
      <c r="N12" s="338"/>
      <c r="O12" s="338"/>
      <c r="P12" s="339"/>
      <c r="Q12" s="340">
        <f>ROUND('1. Статистика'!H10,3)</f>
        <v>0.246</v>
      </c>
      <c r="R12" s="115"/>
      <c r="S12" s="115"/>
      <c r="T12" s="115"/>
      <c r="U12" s="115"/>
      <c r="V12" s="115"/>
      <c r="W12" s="115"/>
    </row>
    <row r="13" spans="1:23" s="11" customFormat="1" ht="15" customHeight="1" outlineLevel="1" x14ac:dyDescent="0.25">
      <c r="A13" s="335" t="s">
        <v>84</v>
      </c>
      <c r="B13" s="336" t="s">
        <v>106</v>
      </c>
      <c r="C13" s="337"/>
      <c r="D13" s="338"/>
      <c r="E13" s="338"/>
      <c r="F13" s="339"/>
      <c r="G13" s="340">
        <f>ROUND('1. Статистика'!F11,3)</f>
        <v>12.754</v>
      </c>
      <c r="H13" s="337"/>
      <c r="I13" s="338"/>
      <c r="J13" s="338"/>
      <c r="K13" s="339"/>
      <c r="L13" s="340">
        <f>ROUND('1. Статистика'!G11,3)</f>
        <v>12.754</v>
      </c>
      <c r="M13" s="337"/>
      <c r="N13" s="338"/>
      <c r="O13" s="338"/>
      <c r="P13" s="339"/>
      <c r="Q13" s="340">
        <f>ROUND('1. Статистика'!H11,3)</f>
        <v>12.884</v>
      </c>
      <c r="R13" s="115"/>
      <c r="S13" s="115"/>
      <c r="T13" s="115"/>
      <c r="U13" s="115"/>
      <c r="V13" s="115"/>
      <c r="W13" s="115"/>
    </row>
    <row r="14" spans="1:23" s="11" customFormat="1" ht="15" customHeight="1" outlineLevel="1" x14ac:dyDescent="0.25">
      <c r="A14" s="335" t="s">
        <v>85</v>
      </c>
      <c r="B14" s="336" t="s">
        <v>106</v>
      </c>
      <c r="C14" s="337"/>
      <c r="D14" s="338"/>
      <c r="E14" s="338"/>
      <c r="F14" s="339"/>
      <c r="G14" s="340">
        <f>ROUND('1. Статистика'!F12,3)</f>
        <v>72.150000000000006</v>
      </c>
      <c r="H14" s="337"/>
      <c r="I14" s="338"/>
      <c r="J14" s="338"/>
      <c r="K14" s="339"/>
      <c r="L14" s="340">
        <f>ROUND('1. Статистика'!G12,3)</f>
        <v>72.150000000000006</v>
      </c>
      <c r="M14" s="337"/>
      <c r="N14" s="338"/>
      <c r="O14" s="338"/>
      <c r="P14" s="339"/>
      <c r="Q14" s="340">
        <f>ROUND('1. Статистика'!H12,3)</f>
        <v>72.150000000000006</v>
      </c>
      <c r="R14" s="115"/>
      <c r="S14" s="115"/>
      <c r="T14" s="115"/>
      <c r="U14" s="115"/>
      <c r="V14" s="115"/>
      <c r="W14" s="115"/>
    </row>
    <row r="15" spans="1:23" s="11" customFormat="1" ht="15" customHeight="1" outlineLevel="1" x14ac:dyDescent="0.25">
      <c r="A15" s="335" t="s">
        <v>86</v>
      </c>
      <c r="B15" s="336" t="s">
        <v>143</v>
      </c>
      <c r="C15" s="337"/>
      <c r="D15" s="338"/>
      <c r="E15" s="338"/>
      <c r="F15" s="339"/>
      <c r="G15" s="341">
        <v>979.3</v>
      </c>
      <c r="H15" s="337"/>
      <c r="I15" s="338"/>
      <c r="J15" s="338"/>
      <c r="K15" s="339"/>
      <c r="L15" s="341">
        <f>G15</f>
        <v>979.3</v>
      </c>
      <c r="M15" s="337"/>
      <c r="N15" s="338"/>
      <c r="O15" s="338"/>
      <c r="P15" s="339"/>
      <c r="Q15" s="341">
        <f>L15</f>
        <v>979.3</v>
      </c>
      <c r="R15" s="115"/>
      <c r="S15" s="115"/>
      <c r="T15" s="115"/>
      <c r="U15" s="115"/>
      <c r="V15" s="115"/>
      <c r="W15" s="115"/>
    </row>
    <row r="16" spans="1:23" s="11" customFormat="1" ht="15" customHeight="1" outlineLevel="1" x14ac:dyDescent="0.25">
      <c r="A16" s="335" t="s">
        <v>87</v>
      </c>
      <c r="B16" s="336" t="s">
        <v>143</v>
      </c>
      <c r="C16" s="337"/>
      <c r="D16" s="338"/>
      <c r="E16" s="338"/>
      <c r="F16" s="339"/>
      <c r="G16" s="341">
        <v>3013.3</v>
      </c>
      <c r="H16" s="337"/>
      <c r="I16" s="338"/>
      <c r="J16" s="338"/>
      <c r="K16" s="339"/>
      <c r="L16" s="341">
        <f>G16</f>
        <v>3013.3</v>
      </c>
      <c r="M16" s="337"/>
      <c r="N16" s="338"/>
      <c r="O16" s="338"/>
      <c r="P16" s="339"/>
      <c r="Q16" s="341">
        <f>L16</f>
        <v>3013.3</v>
      </c>
      <c r="R16" s="115"/>
      <c r="S16" s="115"/>
      <c r="T16" s="115"/>
      <c r="U16" s="115"/>
      <c r="V16" s="115"/>
      <c r="W16" s="115"/>
    </row>
    <row r="17" spans="1:23" s="11" customFormat="1" ht="15" customHeight="1" outlineLevel="1" x14ac:dyDescent="0.25">
      <c r="A17" s="335" t="s">
        <v>88</v>
      </c>
      <c r="B17" s="336" t="s">
        <v>143</v>
      </c>
      <c r="C17" s="337"/>
      <c r="D17" s="338"/>
      <c r="E17" s="338"/>
      <c r="F17" s="339"/>
      <c r="G17" s="341">
        <v>1909</v>
      </c>
      <c r="H17" s="337"/>
      <c r="I17" s="338"/>
      <c r="J17" s="338"/>
      <c r="K17" s="339"/>
      <c r="L17" s="341">
        <v>1921.5</v>
      </c>
      <c r="M17" s="337"/>
      <c r="N17" s="338"/>
      <c r="O17" s="338"/>
      <c r="P17" s="339"/>
      <c r="Q17" s="341">
        <v>1929.5</v>
      </c>
      <c r="R17" s="115"/>
      <c r="S17" s="115"/>
      <c r="T17" s="115"/>
      <c r="U17" s="115"/>
      <c r="V17" s="115"/>
      <c r="W17" s="115"/>
    </row>
    <row r="18" spans="1:23" s="11" customFormat="1" ht="15" customHeight="1" outlineLevel="1" x14ac:dyDescent="0.25">
      <c r="A18" s="331" t="s">
        <v>120</v>
      </c>
      <c r="B18" s="332" t="s">
        <v>118</v>
      </c>
      <c r="C18" s="342">
        <v>0.15</v>
      </c>
      <c r="D18" s="342">
        <v>0.24</v>
      </c>
      <c r="E18" s="342">
        <v>0.115</v>
      </c>
      <c r="F18" s="342">
        <f>ROUND('1. Статистика'!Q42,3)</f>
        <v>0.15</v>
      </c>
      <c r="G18" s="334">
        <f>ROUND(SUM(C18:F18),3)</f>
        <v>0.65500000000000003</v>
      </c>
      <c r="H18" s="342">
        <f>ROUND(C18,3)</f>
        <v>0.15</v>
      </c>
      <c r="I18" s="342">
        <f>ROUND(D18,3)</f>
        <v>0.24</v>
      </c>
      <c r="J18" s="342">
        <v>0.17</v>
      </c>
      <c r="K18" s="342">
        <f>ROUND(F18,3)</f>
        <v>0.15</v>
      </c>
      <c r="L18" s="334">
        <f>ROUND(SUM(H18:K18),3)</f>
        <v>0.71</v>
      </c>
      <c r="M18" s="342">
        <f>ROUND(H18,3)</f>
        <v>0.15</v>
      </c>
      <c r="N18" s="342">
        <f>ROUND(I18,3)</f>
        <v>0.24</v>
      </c>
      <c r="O18" s="342">
        <v>0.2</v>
      </c>
      <c r="P18" s="342">
        <f>ROUND(K18,3)</f>
        <v>0.15</v>
      </c>
      <c r="Q18" s="334">
        <f>ROUND(SUM(M18:P18),3)</f>
        <v>0.74</v>
      </c>
      <c r="R18" s="115"/>
      <c r="S18" s="115"/>
      <c r="T18" s="115"/>
      <c r="U18" s="115"/>
      <c r="V18" s="115"/>
      <c r="W18" s="115"/>
    </row>
    <row r="19" spans="1:23" s="11" customFormat="1" ht="15" customHeight="1" x14ac:dyDescent="0.25">
      <c r="A19" s="329" t="s">
        <v>39</v>
      </c>
      <c r="B19" s="330" t="s">
        <v>118</v>
      </c>
      <c r="C19" s="283">
        <f t="shared" ref="C19:Q19" si="1">ROUND(C20+C21,3)</f>
        <v>18.3</v>
      </c>
      <c r="D19" s="284">
        <f t="shared" si="1"/>
        <v>14.4</v>
      </c>
      <c r="E19" s="284">
        <f t="shared" si="1"/>
        <v>22</v>
      </c>
      <c r="F19" s="343">
        <f t="shared" si="1"/>
        <v>2.9</v>
      </c>
      <c r="G19" s="160">
        <f t="shared" si="1"/>
        <v>57.6</v>
      </c>
      <c r="H19" s="283">
        <f t="shared" si="1"/>
        <v>18.149999999999999</v>
      </c>
      <c r="I19" s="283">
        <f t="shared" si="1"/>
        <v>14.2</v>
      </c>
      <c r="J19" s="283">
        <f t="shared" si="1"/>
        <v>21.7</v>
      </c>
      <c r="K19" s="283">
        <f t="shared" si="1"/>
        <v>2.7</v>
      </c>
      <c r="L19" s="160">
        <f t="shared" si="1"/>
        <v>56.75</v>
      </c>
      <c r="M19" s="283">
        <f t="shared" si="1"/>
        <v>18</v>
      </c>
      <c r="N19" s="283">
        <f t="shared" si="1"/>
        <v>14</v>
      </c>
      <c r="O19" s="283">
        <f t="shared" si="1"/>
        <v>21.4</v>
      </c>
      <c r="P19" s="283">
        <f t="shared" si="1"/>
        <v>2.5</v>
      </c>
      <c r="Q19" s="160">
        <f t="shared" si="1"/>
        <v>55.9</v>
      </c>
      <c r="R19" s="115"/>
      <c r="S19" s="115"/>
      <c r="T19" s="115"/>
      <c r="U19" s="115"/>
      <c r="V19" s="115"/>
      <c r="W19" s="115"/>
    </row>
    <row r="20" spans="1:23" s="85" customFormat="1" ht="15" customHeight="1" outlineLevel="1" x14ac:dyDescent="0.25">
      <c r="A20" s="344" t="s">
        <v>40</v>
      </c>
      <c r="B20" s="336" t="s">
        <v>118</v>
      </c>
      <c r="C20" s="161">
        <f>ROUND('1. Статистика'!N43,3)</f>
        <v>15</v>
      </c>
      <c r="D20" s="162">
        <f>ROUND('1. Статистика'!O43,3)</f>
        <v>7.3</v>
      </c>
      <c r="E20" s="162">
        <f>ROUND('1. Статистика'!P43,3)</f>
        <v>15.1</v>
      </c>
      <c r="F20" s="164">
        <f>ROUND('1. Статистика'!Q43,3)</f>
        <v>8.9</v>
      </c>
      <c r="G20" s="163">
        <f>ROUND(SUM(C20:F20),3)</f>
        <v>46.3</v>
      </c>
      <c r="H20" s="161">
        <f>ROUND(C19,3)</f>
        <v>18.3</v>
      </c>
      <c r="I20" s="161">
        <f>ROUND(D19,3)</f>
        <v>14.4</v>
      </c>
      <c r="J20" s="161">
        <f>ROUND(E19,3)</f>
        <v>22</v>
      </c>
      <c r="K20" s="161">
        <f>ROUND(F19,3)</f>
        <v>2.9</v>
      </c>
      <c r="L20" s="163">
        <f>ROUND(SUM(H20:K20),3)</f>
        <v>57.6</v>
      </c>
      <c r="M20" s="161">
        <f>ROUND(H19,3)</f>
        <v>18.149999999999999</v>
      </c>
      <c r="N20" s="161">
        <f>ROUND(I19,3)</f>
        <v>14.2</v>
      </c>
      <c r="O20" s="161">
        <f>ROUND(J19,3)</f>
        <v>21.7</v>
      </c>
      <c r="P20" s="161">
        <f>ROUND(K19,3)</f>
        <v>2.7</v>
      </c>
      <c r="Q20" s="163">
        <f>ROUND(SUM(M20:P20),3)</f>
        <v>56.75</v>
      </c>
      <c r="R20" s="116"/>
      <c r="S20" s="116"/>
      <c r="T20" s="116"/>
      <c r="U20" s="116"/>
      <c r="V20" s="116"/>
      <c r="W20" s="116"/>
    </row>
    <row r="21" spans="1:23" s="85" customFormat="1" ht="15" customHeight="1" outlineLevel="1" x14ac:dyDescent="0.25">
      <c r="A21" s="344" t="s">
        <v>41</v>
      </c>
      <c r="B21" s="336" t="s">
        <v>118</v>
      </c>
      <c r="C21" s="342">
        <v>3.3</v>
      </c>
      <c r="D21" s="342">
        <v>7.1</v>
      </c>
      <c r="E21" s="342">
        <v>6.9</v>
      </c>
      <c r="F21" s="342">
        <v>-6</v>
      </c>
      <c r="G21" s="163">
        <f>ROUND(SUM(C21:F21),3)</f>
        <v>11.3</v>
      </c>
      <c r="H21" s="342">
        <v>-0.15</v>
      </c>
      <c r="I21" s="342">
        <v>-0.2</v>
      </c>
      <c r="J21" s="342">
        <v>-0.3</v>
      </c>
      <c r="K21" s="342">
        <v>-0.2</v>
      </c>
      <c r="L21" s="163">
        <f>ROUND(SUM(H21:K21),3)</f>
        <v>-0.85</v>
      </c>
      <c r="M21" s="342">
        <v>-0.15</v>
      </c>
      <c r="N21" s="342">
        <v>-0.2</v>
      </c>
      <c r="O21" s="342">
        <v>-0.3</v>
      </c>
      <c r="P21" s="342">
        <v>-0.2</v>
      </c>
      <c r="Q21" s="163">
        <f>ROUND(SUM(M21:P21),3)</f>
        <v>-0.85</v>
      </c>
      <c r="R21" s="116"/>
      <c r="S21" s="116"/>
      <c r="T21" s="116"/>
      <c r="U21" s="116"/>
      <c r="V21" s="116"/>
      <c r="W21" s="116"/>
    </row>
    <row r="22" spans="1:23" ht="15" customHeight="1" x14ac:dyDescent="0.25">
      <c r="A22" s="345" t="s">
        <v>37</v>
      </c>
      <c r="B22" s="346" t="s">
        <v>118</v>
      </c>
      <c r="C22" s="347">
        <f t="shared" ref="C22:Q22" si="2">ROUND(C9+C10+C19,3)</f>
        <v>56.643999999999998</v>
      </c>
      <c r="D22" s="348">
        <f t="shared" si="2"/>
        <v>73.438999999999993</v>
      </c>
      <c r="E22" s="348">
        <f t="shared" si="2"/>
        <v>71.843999999999994</v>
      </c>
      <c r="F22" s="349">
        <f t="shared" si="2"/>
        <v>39.997999999999998</v>
      </c>
      <c r="G22" s="350">
        <f t="shared" si="2"/>
        <v>236.51599999999999</v>
      </c>
      <c r="H22" s="347">
        <f t="shared" si="2"/>
        <v>56.585000000000001</v>
      </c>
      <c r="I22" s="348">
        <f t="shared" si="2"/>
        <v>73.472999999999999</v>
      </c>
      <c r="J22" s="348">
        <f t="shared" si="2"/>
        <v>71.887</v>
      </c>
      <c r="K22" s="349">
        <f t="shared" si="2"/>
        <v>40.024999999999999</v>
      </c>
      <c r="L22" s="350">
        <f t="shared" si="2"/>
        <v>236.52799999999999</v>
      </c>
      <c r="M22" s="347">
        <f t="shared" si="2"/>
        <v>56.716000000000001</v>
      </c>
      <c r="N22" s="347">
        <f t="shared" si="2"/>
        <v>73.718999999999994</v>
      </c>
      <c r="O22" s="347">
        <f t="shared" si="2"/>
        <v>72.129000000000005</v>
      </c>
      <c r="P22" s="349">
        <f t="shared" si="2"/>
        <v>40.256</v>
      </c>
      <c r="Q22" s="350">
        <f t="shared" si="2"/>
        <v>236.75899999999999</v>
      </c>
      <c r="R22" s="51"/>
      <c r="S22" s="114"/>
      <c r="T22" s="114"/>
      <c r="U22" s="51"/>
      <c r="V22" s="51"/>
      <c r="W22" s="51"/>
    </row>
    <row r="23" spans="1:23" s="11" customFormat="1" ht="15" customHeight="1" x14ac:dyDescent="0.25">
      <c r="A23" s="329" t="s">
        <v>135</v>
      </c>
      <c r="B23" s="351" t="s">
        <v>118</v>
      </c>
      <c r="C23" s="283">
        <f t="shared" ref="C23:Q23" si="3">ROUND(C24+C25,3)</f>
        <v>5.4</v>
      </c>
      <c r="D23" s="284">
        <f t="shared" si="3"/>
        <v>6.9</v>
      </c>
      <c r="E23" s="284">
        <f t="shared" si="3"/>
        <v>3.6</v>
      </c>
      <c r="F23" s="284">
        <f t="shared" si="3"/>
        <v>3.8</v>
      </c>
      <c r="G23" s="160">
        <f t="shared" si="3"/>
        <v>19.7</v>
      </c>
      <c r="H23" s="283">
        <f t="shared" si="3"/>
        <v>5.4</v>
      </c>
      <c r="I23" s="283">
        <f t="shared" si="3"/>
        <v>6.9</v>
      </c>
      <c r="J23" s="283">
        <f t="shared" si="3"/>
        <v>3.6</v>
      </c>
      <c r="K23" s="283">
        <f t="shared" si="3"/>
        <v>3.8</v>
      </c>
      <c r="L23" s="160">
        <f t="shared" si="3"/>
        <v>19.7</v>
      </c>
      <c r="M23" s="283">
        <f t="shared" si="3"/>
        <v>5.4</v>
      </c>
      <c r="N23" s="283">
        <f t="shared" si="3"/>
        <v>6.9</v>
      </c>
      <c r="O23" s="283">
        <f t="shared" si="3"/>
        <v>3.6</v>
      </c>
      <c r="P23" s="283">
        <f t="shared" si="3"/>
        <v>3.8</v>
      </c>
      <c r="Q23" s="160">
        <f t="shared" si="3"/>
        <v>19.7</v>
      </c>
      <c r="R23" s="115"/>
      <c r="S23" s="115"/>
      <c r="T23" s="115"/>
      <c r="U23" s="115"/>
      <c r="V23" s="115"/>
      <c r="W23" s="115"/>
    </row>
    <row r="24" spans="1:23" s="85" customFormat="1" ht="14.1" customHeight="1" outlineLevel="1" x14ac:dyDescent="0.25">
      <c r="A24" s="344" t="s">
        <v>96</v>
      </c>
      <c r="B24" s="336" t="s">
        <v>118</v>
      </c>
      <c r="C24" s="161">
        <f>ROUND('1. Статистика'!N45,3)</f>
        <v>3.5</v>
      </c>
      <c r="D24" s="162">
        <f>ROUND('1. Статистика'!O45,3)</f>
        <v>2.2999999999999998</v>
      </c>
      <c r="E24" s="162">
        <f>ROUND('1. Статистика'!P45,3)</f>
        <v>2</v>
      </c>
      <c r="F24" s="162">
        <f>ROUND('1. Статистика'!Q45,3)</f>
        <v>3.8</v>
      </c>
      <c r="G24" s="163">
        <f>ROUND(SUM(C24:F24),3)</f>
        <v>11.6</v>
      </c>
      <c r="H24" s="161">
        <f>ROUND(C23,3)</f>
        <v>5.4</v>
      </c>
      <c r="I24" s="162">
        <f>ROUND(D23,3)</f>
        <v>6.9</v>
      </c>
      <c r="J24" s="162">
        <f>ROUND(E23,3)</f>
        <v>3.6</v>
      </c>
      <c r="K24" s="164">
        <f>ROUND(F23,3)</f>
        <v>3.8</v>
      </c>
      <c r="L24" s="163">
        <f>ROUND(SUM(H24:K24),3)</f>
        <v>19.7</v>
      </c>
      <c r="M24" s="161">
        <f>ROUND(H23,3)</f>
        <v>5.4</v>
      </c>
      <c r="N24" s="161">
        <f>ROUND(I23,3)</f>
        <v>6.9</v>
      </c>
      <c r="O24" s="161">
        <f>ROUND(J23,3)</f>
        <v>3.6</v>
      </c>
      <c r="P24" s="161">
        <f>ROUND(K23,3)</f>
        <v>3.8</v>
      </c>
      <c r="Q24" s="163">
        <f>ROUND(SUM(M24:P24),3)</f>
        <v>19.7</v>
      </c>
    </row>
    <row r="25" spans="1:23" s="85" customFormat="1" ht="15.6" customHeight="1" outlineLevel="1" x14ac:dyDescent="0.25">
      <c r="A25" s="352" t="s">
        <v>97</v>
      </c>
      <c r="B25" s="336" t="s">
        <v>118</v>
      </c>
      <c r="C25" s="342">
        <v>1.9</v>
      </c>
      <c r="D25" s="342">
        <v>4.5999999999999996</v>
      </c>
      <c r="E25" s="342">
        <v>1.6</v>
      </c>
      <c r="F25" s="342"/>
      <c r="G25" s="163">
        <f>ROUND(SUM(C25:F25),3)</f>
        <v>8.1</v>
      </c>
      <c r="H25" s="342"/>
      <c r="I25" s="342"/>
      <c r="J25" s="342"/>
      <c r="K25" s="342"/>
      <c r="L25" s="163">
        <f>ROUND(SUM(H25:K25),3)</f>
        <v>0</v>
      </c>
      <c r="M25" s="342"/>
      <c r="N25" s="342"/>
      <c r="O25" s="342"/>
      <c r="P25" s="342"/>
      <c r="Q25" s="163">
        <f>ROUND(SUM(M25:P25),3)</f>
        <v>0</v>
      </c>
    </row>
    <row r="26" spans="1:23" s="11" customFormat="1" ht="17.25" customHeight="1" x14ac:dyDescent="0.25">
      <c r="A26" s="329" t="s">
        <v>98</v>
      </c>
      <c r="B26" s="351" t="s">
        <v>118</v>
      </c>
      <c r="C26" s="283">
        <f t="shared" ref="C26:Q26" si="4">ROUND(C27+C28-C29+C30,3)</f>
        <v>0</v>
      </c>
      <c r="D26" s="284">
        <f t="shared" si="4"/>
        <v>0</v>
      </c>
      <c r="E26" s="284">
        <f t="shared" si="4"/>
        <v>0</v>
      </c>
      <c r="F26" s="343">
        <f t="shared" si="4"/>
        <v>0</v>
      </c>
      <c r="G26" s="160">
        <f t="shared" si="4"/>
        <v>0</v>
      </c>
      <c r="H26" s="283">
        <f t="shared" si="4"/>
        <v>0</v>
      </c>
      <c r="I26" s="283">
        <f t="shared" si="4"/>
        <v>0</v>
      </c>
      <c r="J26" s="283">
        <f t="shared" si="4"/>
        <v>0</v>
      </c>
      <c r="K26" s="283">
        <f t="shared" si="4"/>
        <v>0</v>
      </c>
      <c r="L26" s="160">
        <f t="shared" si="4"/>
        <v>0</v>
      </c>
      <c r="M26" s="283">
        <f t="shared" si="4"/>
        <v>0</v>
      </c>
      <c r="N26" s="283">
        <f t="shared" si="4"/>
        <v>0</v>
      </c>
      <c r="O26" s="283">
        <f t="shared" si="4"/>
        <v>0</v>
      </c>
      <c r="P26" s="283">
        <f t="shared" si="4"/>
        <v>0</v>
      </c>
      <c r="Q26" s="160">
        <f t="shared" si="4"/>
        <v>0</v>
      </c>
    </row>
    <row r="27" spans="1:23" s="85" customFormat="1" outlineLevel="1" x14ac:dyDescent="0.25">
      <c r="A27" s="344" t="s">
        <v>95</v>
      </c>
      <c r="B27" s="336" t="s">
        <v>118</v>
      </c>
      <c r="C27" s="161">
        <f>ROUND('1. Статистика'!N46,3)</f>
        <v>0</v>
      </c>
      <c r="D27" s="162">
        <f>ROUND('1. Статистика'!O46,3)</f>
        <v>0</v>
      </c>
      <c r="E27" s="162">
        <f>ROUND('1. Статистика'!P46,3)</f>
        <v>0</v>
      </c>
      <c r="F27" s="162">
        <f>ROUND('1. Статистика'!Q46,3)</f>
        <v>0</v>
      </c>
      <c r="G27" s="163">
        <f>ROUND(SUM(C27:F27),3)</f>
        <v>0</v>
      </c>
      <c r="H27" s="161">
        <f>ROUND(C26,3)</f>
        <v>0</v>
      </c>
      <c r="I27" s="162">
        <f>ROUND(D26,3)</f>
        <v>0</v>
      </c>
      <c r="J27" s="162">
        <f>ROUND(E26,3)</f>
        <v>0</v>
      </c>
      <c r="K27" s="164">
        <f>ROUND(F26,3)</f>
        <v>0</v>
      </c>
      <c r="L27" s="163">
        <f>ROUND(SUM(H27:K27),3)</f>
        <v>0</v>
      </c>
      <c r="M27" s="161">
        <f>ROUND(H26,3)</f>
        <v>0</v>
      </c>
      <c r="N27" s="161">
        <f>ROUND(I26,3)</f>
        <v>0</v>
      </c>
      <c r="O27" s="161">
        <f>ROUND(J26,3)</f>
        <v>0</v>
      </c>
      <c r="P27" s="161">
        <f>ROUND(K26,3)</f>
        <v>0</v>
      </c>
      <c r="Q27" s="163">
        <f>ROUND(SUM(M27:P27),3)</f>
        <v>0</v>
      </c>
    </row>
    <row r="28" spans="1:23" s="85" customFormat="1" ht="30" outlineLevel="1" x14ac:dyDescent="0.25">
      <c r="A28" s="352" t="s">
        <v>43</v>
      </c>
      <c r="B28" s="336" t="s">
        <v>118</v>
      </c>
      <c r="C28" s="161">
        <f>ROUND('1. Статистика'!D34,3)</f>
        <v>0</v>
      </c>
      <c r="D28" s="162">
        <f>ROUND('1. Статистика'!E34,3)</f>
        <v>0</v>
      </c>
      <c r="E28" s="162">
        <f>ROUND('1. Статистика'!F34,3)</f>
        <v>0</v>
      </c>
      <c r="F28" s="164">
        <f>ROUND('1. Статистика'!G34,3)</f>
        <v>0</v>
      </c>
      <c r="G28" s="163">
        <f>ROUND(SUM(C28:F28),3)</f>
        <v>0</v>
      </c>
      <c r="H28" s="161">
        <f>ROUND('1. Статистика'!I34,3)</f>
        <v>0</v>
      </c>
      <c r="I28" s="162">
        <f>ROUND('1. Статистика'!J34,3)</f>
        <v>0</v>
      </c>
      <c r="J28" s="162">
        <f>ROUND('1. Статистика'!K34,3)</f>
        <v>0</v>
      </c>
      <c r="K28" s="164">
        <f>ROUND('1. Статистика'!L34,3)</f>
        <v>0</v>
      </c>
      <c r="L28" s="163">
        <f>ROUND(SUM(H28:K28),3)</f>
        <v>0</v>
      </c>
      <c r="M28" s="161">
        <f>ROUND('1. Статистика'!N34,3)</f>
        <v>0</v>
      </c>
      <c r="N28" s="161">
        <f>ROUND('1. Статистика'!O34,3)</f>
        <v>0</v>
      </c>
      <c r="O28" s="161">
        <f>ROUND('1. Статистика'!P34,3)</f>
        <v>0</v>
      </c>
      <c r="P28" s="161">
        <f>ROUND('1. Статистика'!Q34,3)</f>
        <v>0</v>
      </c>
      <c r="Q28" s="163">
        <f>ROUND(SUM(M28:P28),3)</f>
        <v>0</v>
      </c>
    </row>
    <row r="29" spans="1:23" s="85" customFormat="1" ht="30" outlineLevel="1" x14ac:dyDescent="0.25">
      <c r="A29" s="352" t="s">
        <v>44</v>
      </c>
      <c r="B29" s="336" t="s">
        <v>118</v>
      </c>
      <c r="C29" s="353"/>
      <c r="D29" s="353"/>
      <c r="E29" s="353"/>
      <c r="F29" s="353"/>
      <c r="G29" s="163">
        <f>ROUND(SUM(C29:F29),3)</f>
        <v>0</v>
      </c>
      <c r="H29" s="353"/>
      <c r="I29" s="353"/>
      <c r="J29" s="353"/>
      <c r="K29" s="353"/>
      <c r="L29" s="163">
        <f>ROUND(SUM(H29:K29),3)</f>
        <v>0</v>
      </c>
      <c r="M29" s="353"/>
      <c r="N29" s="353"/>
      <c r="O29" s="353"/>
      <c r="P29" s="353"/>
      <c r="Q29" s="163">
        <f>ROUND(SUM(M29:P29),3)</f>
        <v>0</v>
      </c>
    </row>
    <row r="30" spans="1:23" s="85" customFormat="1" ht="30" outlineLevel="1" x14ac:dyDescent="0.25">
      <c r="A30" s="352" t="s">
        <v>45</v>
      </c>
      <c r="B30" s="336" t="s">
        <v>118</v>
      </c>
      <c r="C30" s="342"/>
      <c r="D30" s="342"/>
      <c r="E30" s="342"/>
      <c r="F30" s="342"/>
      <c r="G30" s="163">
        <f>ROUND(SUM(C30:F30),3)</f>
        <v>0</v>
      </c>
      <c r="H30" s="342"/>
      <c r="I30" s="342"/>
      <c r="J30" s="342"/>
      <c r="K30" s="342"/>
      <c r="L30" s="163">
        <f>ROUND(SUM(H30:K30),3)</f>
        <v>0</v>
      </c>
      <c r="M30" s="342"/>
      <c r="N30" s="354"/>
      <c r="O30" s="342"/>
      <c r="P30" s="342"/>
      <c r="Q30" s="355">
        <f>ROUND(SUM(M30:P30),3)</f>
        <v>0</v>
      </c>
    </row>
    <row r="31" spans="1:23" ht="15.6" customHeight="1" x14ac:dyDescent="0.25">
      <c r="A31" s="329" t="s">
        <v>99</v>
      </c>
      <c r="B31" s="356" t="s">
        <v>118</v>
      </c>
      <c r="C31" s="357">
        <f>ROUND('1. Статистика'!D70*$G$31,3)</f>
        <v>0</v>
      </c>
      <c r="D31" s="357">
        <f>ROUND(G31-(C31+E31+F31),3)</f>
        <v>3.4000000000000002E-2</v>
      </c>
      <c r="E31" s="358">
        <f>ROUND('1. Статистика'!F70*$G$31,3)</f>
        <v>3.4000000000000002E-2</v>
      </c>
      <c r="F31" s="358">
        <f>ROUND('1. Статистика'!G70*$G$31,3)</f>
        <v>0.23899999999999999</v>
      </c>
      <c r="G31" s="359">
        <f>ROUND(G32*G22,3)</f>
        <v>0.307</v>
      </c>
      <c r="H31" s="357">
        <f>ROUND('1. Статистика'!D70*$L$31,3)</f>
        <v>0</v>
      </c>
      <c r="I31" s="357">
        <f>ROUND(L31-(H31+J31+K31),3)</f>
        <v>2.7E-2</v>
      </c>
      <c r="J31" s="357">
        <f>ROUND('1. Статистика'!F70*$L$31,3)</f>
        <v>2.5999999999999999E-2</v>
      </c>
      <c r="K31" s="357">
        <f>ROUND('1. Статистика'!G70*$L$31,3)</f>
        <v>0.184</v>
      </c>
      <c r="L31" s="359">
        <f>ROUND(L32*L22,3)</f>
        <v>0.23699999999999999</v>
      </c>
      <c r="M31" s="360">
        <f>ROUND('1. Статистика'!D70*$Q$31,3)</f>
        <v>0</v>
      </c>
      <c r="N31" s="358">
        <f>ROUND(Q31-(M31+O31+P31),3)</f>
        <v>2.7E-2</v>
      </c>
      <c r="O31" s="358">
        <f>ROUND('1. Статистика'!F70*$Q$31,3)</f>
        <v>2.5999999999999999E-2</v>
      </c>
      <c r="P31" s="361">
        <f>ROUND('1. Статистика'!G70*$Q$31,3)</f>
        <v>0.184</v>
      </c>
      <c r="Q31" s="359">
        <f>ROUND(Q32*Q22,3)</f>
        <v>0.23699999999999999</v>
      </c>
    </row>
    <row r="32" spans="1:23" s="10" customFormat="1" outlineLevel="1" x14ac:dyDescent="0.25">
      <c r="A32" s="344" t="s">
        <v>46</v>
      </c>
      <c r="B32" s="336" t="s">
        <v>123</v>
      </c>
      <c r="C32" s="362"/>
      <c r="D32" s="363"/>
      <c r="E32" s="364"/>
      <c r="F32" s="365"/>
      <c r="G32" s="453">
        <v>1.2999999999999999E-3</v>
      </c>
      <c r="H32" s="362"/>
      <c r="I32" s="364"/>
      <c r="J32" s="364"/>
      <c r="K32" s="365"/>
      <c r="L32" s="453">
        <f>ROUND(G32,3)</f>
        <v>1E-3</v>
      </c>
      <c r="M32" s="362"/>
      <c r="N32" s="366"/>
      <c r="O32" s="364"/>
      <c r="P32" s="365"/>
      <c r="Q32" s="454">
        <f>ROUND(G32,3)</f>
        <v>1E-3</v>
      </c>
    </row>
    <row r="33" spans="1:17" s="11" customFormat="1" x14ac:dyDescent="0.25">
      <c r="A33" s="329" t="s">
        <v>100</v>
      </c>
      <c r="B33" s="356" t="s">
        <v>118</v>
      </c>
      <c r="C33" s="283">
        <f>ROUND(C34+C35,3)</f>
        <v>0.6</v>
      </c>
      <c r="D33" s="284">
        <f>ROUND(D34+D35,3)</f>
        <v>2.2000000000000002</v>
      </c>
      <c r="E33" s="284">
        <f>ROUND(E34+E35,3)</f>
        <v>4.8</v>
      </c>
      <c r="F33" s="343">
        <f>ROUND(F34+F35,3)</f>
        <v>2</v>
      </c>
      <c r="G33" s="160">
        <f>ROUND(SUM(C33:F33),3)</f>
        <v>9.6</v>
      </c>
      <c r="H33" s="283">
        <f>ROUND(H34+H35,3)</f>
        <v>0.6</v>
      </c>
      <c r="I33" s="284">
        <f>ROUND(I34+I35,3)</f>
        <v>2.2000000000000002</v>
      </c>
      <c r="J33" s="284">
        <f>ROUND(J34+J35,3)</f>
        <v>4.8</v>
      </c>
      <c r="K33" s="343">
        <f>ROUND(K34+K35,3)</f>
        <v>2</v>
      </c>
      <c r="L33" s="160">
        <f>ROUND(SUM(H33:K33),3)</f>
        <v>9.6</v>
      </c>
      <c r="M33" s="283">
        <f>ROUND(M34+M35,3)</f>
        <v>0.6</v>
      </c>
      <c r="N33" s="283">
        <f>ROUND(N34+N35,3)</f>
        <v>2.2000000000000002</v>
      </c>
      <c r="O33" s="283">
        <f>ROUND(O34+O35,3)</f>
        <v>4.8</v>
      </c>
      <c r="P33" s="283">
        <f>ROUND(P34+P35,3)</f>
        <v>2</v>
      </c>
      <c r="Q33" s="160">
        <f>ROUND(SUM(M33:P33),3)</f>
        <v>9.6</v>
      </c>
    </row>
    <row r="34" spans="1:17" s="85" customFormat="1" outlineLevel="1" x14ac:dyDescent="0.25">
      <c r="A34" s="344" t="s">
        <v>47</v>
      </c>
      <c r="B34" s="336" t="s">
        <v>118</v>
      </c>
      <c r="C34" s="161">
        <f>ROUND('1. Статистика'!N48,3)</f>
        <v>1.2</v>
      </c>
      <c r="D34" s="162">
        <f>ROUND('1. Статистика'!O48,3)</f>
        <v>3.4</v>
      </c>
      <c r="E34" s="162">
        <f>ROUND('1. Статистика'!P48,3)</f>
        <v>3.2</v>
      </c>
      <c r="F34" s="164">
        <f>ROUND('1. Статистика'!Q48,3)</f>
        <v>2</v>
      </c>
      <c r="G34" s="163">
        <f>ROUND(SUM(C34:F34),3)</f>
        <v>9.8000000000000007</v>
      </c>
      <c r="H34" s="161">
        <f>ROUND(C33,3)</f>
        <v>0.6</v>
      </c>
      <c r="I34" s="162">
        <f>ROUND(D33,3)</f>
        <v>2.2000000000000002</v>
      </c>
      <c r="J34" s="162">
        <f>ROUND(E33,3)</f>
        <v>4.8</v>
      </c>
      <c r="K34" s="164">
        <f>ROUND(F33,3)</f>
        <v>2</v>
      </c>
      <c r="L34" s="163">
        <f>ROUND(SUM(H34:K34),3)</f>
        <v>9.6</v>
      </c>
      <c r="M34" s="161">
        <f>ROUND(H33,3)</f>
        <v>0.6</v>
      </c>
      <c r="N34" s="161">
        <f>ROUND(I33,3)</f>
        <v>2.2000000000000002</v>
      </c>
      <c r="O34" s="161">
        <f>ROUND(J33,3)</f>
        <v>4.8</v>
      </c>
      <c r="P34" s="161">
        <f>ROUND(K33,3)</f>
        <v>2</v>
      </c>
      <c r="Q34" s="163">
        <f>ROUND(SUM(M34:P34),3)</f>
        <v>9.6</v>
      </c>
    </row>
    <row r="35" spans="1:17" s="85" customFormat="1" outlineLevel="1" x14ac:dyDescent="0.25">
      <c r="A35" s="344" t="s">
        <v>48</v>
      </c>
      <c r="B35" s="336" t="s">
        <v>118</v>
      </c>
      <c r="C35" s="342">
        <v>-0.6</v>
      </c>
      <c r="D35" s="342">
        <v>-1.2</v>
      </c>
      <c r="E35" s="342">
        <v>1.6</v>
      </c>
      <c r="F35" s="342"/>
      <c r="G35" s="163">
        <f>ROUND(SUM(C35:F35),3)</f>
        <v>-0.2</v>
      </c>
      <c r="H35" s="342"/>
      <c r="I35" s="342"/>
      <c r="J35" s="342"/>
      <c r="K35" s="342"/>
      <c r="L35" s="163">
        <f>ROUND(SUM(H35:K35),3)</f>
        <v>0</v>
      </c>
      <c r="M35" s="342"/>
      <c r="N35" s="342"/>
      <c r="O35" s="342"/>
      <c r="P35" s="342"/>
      <c r="Q35" s="163">
        <f>ROUND(SUM(M35:P35),3)</f>
        <v>0</v>
      </c>
    </row>
    <row r="36" spans="1:17" s="11" customFormat="1" x14ac:dyDescent="0.25">
      <c r="A36" s="329" t="s">
        <v>101</v>
      </c>
      <c r="B36" s="356" t="s">
        <v>118</v>
      </c>
      <c r="C36" s="283">
        <f t="shared" ref="C36:Q36" si="5">ROUND(C37+C38,3)</f>
        <v>49</v>
      </c>
      <c r="D36" s="284">
        <f t="shared" si="5"/>
        <v>63</v>
      </c>
      <c r="E36" s="284">
        <f t="shared" si="5"/>
        <v>60.95</v>
      </c>
      <c r="F36" s="360">
        <f t="shared" si="5"/>
        <v>32.200000000000003</v>
      </c>
      <c r="G36" s="160">
        <f t="shared" si="5"/>
        <v>205.15</v>
      </c>
      <c r="H36" s="283">
        <f t="shared" si="5"/>
        <v>49</v>
      </c>
      <c r="I36" s="284">
        <f t="shared" si="5"/>
        <v>63</v>
      </c>
      <c r="J36" s="284">
        <f t="shared" si="5"/>
        <v>60.95</v>
      </c>
      <c r="K36" s="360">
        <f t="shared" si="5"/>
        <v>32.200000000000003</v>
      </c>
      <c r="L36" s="160">
        <f t="shared" si="5"/>
        <v>205.15</v>
      </c>
      <c r="M36" s="283">
        <f t="shared" si="5"/>
        <v>49</v>
      </c>
      <c r="N36" s="283">
        <f t="shared" si="5"/>
        <v>63</v>
      </c>
      <c r="O36" s="283">
        <f t="shared" si="5"/>
        <v>60.95</v>
      </c>
      <c r="P36" s="283">
        <f t="shared" si="5"/>
        <v>32.200000000000003</v>
      </c>
      <c r="Q36" s="160">
        <f t="shared" si="5"/>
        <v>205.15</v>
      </c>
    </row>
    <row r="37" spans="1:17" s="85" customFormat="1" outlineLevel="1" x14ac:dyDescent="0.25">
      <c r="A37" s="344" t="s">
        <v>49</v>
      </c>
      <c r="B37" s="336" t="s">
        <v>118</v>
      </c>
      <c r="C37" s="161">
        <f>ROUND('1. Статистика'!N49,3)</f>
        <v>47.6</v>
      </c>
      <c r="D37" s="162">
        <f>ROUND('1. Статистика'!O49,3)</f>
        <v>60.5</v>
      </c>
      <c r="E37" s="162">
        <f>ROUND('1. Статистика'!P49,3)</f>
        <v>60.5</v>
      </c>
      <c r="F37" s="164">
        <f>ROUND('1. Статистика'!Q49,3)</f>
        <v>32.200000000000003</v>
      </c>
      <c r="G37" s="163">
        <f>ROUND(SUM(C37:F37),3)</f>
        <v>200.8</v>
      </c>
      <c r="H37" s="161">
        <f>ROUND(C36,3)</f>
        <v>49</v>
      </c>
      <c r="I37" s="162">
        <f>ROUND(D36,3)</f>
        <v>63</v>
      </c>
      <c r="J37" s="162">
        <f>ROUND(E36,3)</f>
        <v>60.95</v>
      </c>
      <c r="K37" s="164">
        <f>ROUND(F36,3)</f>
        <v>32.200000000000003</v>
      </c>
      <c r="L37" s="163">
        <f>ROUND(SUM(H37:K37),3)</f>
        <v>205.15</v>
      </c>
      <c r="M37" s="161">
        <f>ROUND(H36,3)</f>
        <v>49</v>
      </c>
      <c r="N37" s="161">
        <f>ROUND(I36,3)</f>
        <v>63</v>
      </c>
      <c r="O37" s="161">
        <f>ROUND(J36,3)</f>
        <v>60.95</v>
      </c>
      <c r="P37" s="161">
        <f>ROUND(K36,3)</f>
        <v>32.200000000000003</v>
      </c>
      <c r="Q37" s="163">
        <f>ROUND(SUM(M37:P37),3)</f>
        <v>205.15</v>
      </c>
    </row>
    <row r="38" spans="1:17" s="85" customFormat="1" ht="30" outlineLevel="1" x14ac:dyDescent="0.25">
      <c r="A38" s="352" t="s">
        <v>50</v>
      </c>
      <c r="B38" s="336" t="s">
        <v>118</v>
      </c>
      <c r="C38" s="342">
        <v>1.4</v>
      </c>
      <c r="D38" s="342">
        <v>2.5</v>
      </c>
      <c r="E38" s="342">
        <v>0.45</v>
      </c>
      <c r="F38" s="342"/>
      <c r="G38" s="163">
        <f>ROUND(SUM(C38:F38),3)</f>
        <v>4.3499999999999996</v>
      </c>
      <c r="H38" s="342"/>
      <c r="I38" s="342"/>
      <c r="J38" s="342"/>
      <c r="K38" s="342"/>
      <c r="L38" s="163">
        <f>ROUND(SUM(H38:K38),3)</f>
        <v>0</v>
      </c>
      <c r="M38" s="342"/>
      <c r="N38" s="342"/>
      <c r="O38" s="342"/>
      <c r="P38" s="342"/>
      <c r="Q38" s="163">
        <f>ROUND(SUM(M38:P38),3)</f>
        <v>0</v>
      </c>
    </row>
    <row r="39" spans="1:17" s="3" customFormat="1" ht="15" customHeight="1" x14ac:dyDescent="0.25">
      <c r="A39" s="345" t="s">
        <v>42</v>
      </c>
      <c r="B39" s="346" t="s">
        <v>118</v>
      </c>
      <c r="C39" s="347">
        <f>ROUND(C23+C26+C33+C36+C31,3)</f>
        <v>55</v>
      </c>
      <c r="D39" s="348">
        <f>ROUND(D23+D26+D33+D36+D31,3)</f>
        <v>72.134</v>
      </c>
      <c r="E39" s="348">
        <f>ROUND(E23+E26+E33+E36+E31,3)</f>
        <v>69.384</v>
      </c>
      <c r="F39" s="348">
        <f>ROUND(F23+F26+F33+F36+F31,3)</f>
        <v>38.238999999999997</v>
      </c>
      <c r="G39" s="350">
        <f>ROUND(G33+G23+G26+G36+G31,3)</f>
        <v>234.75700000000001</v>
      </c>
      <c r="H39" s="348">
        <f>ROUND(H23+H26+H33+H36+H31,3)</f>
        <v>55</v>
      </c>
      <c r="I39" s="348">
        <f>ROUND(I23+I26+I33+I36+I31,3)</f>
        <v>72.126999999999995</v>
      </c>
      <c r="J39" s="348">
        <f>ROUND(J23+J26+J33+J36+J31,3)</f>
        <v>69.376000000000005</v>
      </c>
      <c r="K39" s="348">
        <f>ROUND(K23+K26+K33+K36+K31,3)</f>
        <v>38.183999999999997</v>
      </c>
      <c r="L39" s="350">
        <f>ROUND(L33+L23+L26+L36+L31,3)</f>
        <v>234.68700000000001</v>
      </c>
      <c r="M39" s="348">
        <f>ROUND(M23+M26+M33+M36+M31,3)</f>
        <v>55</v>
      </c>
      <c r="N39" s="348">
        <f>ROUND(N23+N26+N33+N36+N31,3)</f>
        <v>72.126999999999995</v>
      </c>
      <c r="O39" s="348">
        <f>ROUND(O23+O26+O33+O36+O31,3)</f>
        <v>69.376000000000005</v>
      </c>
      <c r="P39" s="348">
        <f>ROUND(P23+P26+P33+P36+P31,3)</f>
        <v>38.183999999999997</v>
      </c>
      <c r="Q39" s="350">
        <f>ROUND(Q33+Q23+Q26+Q36+Q31,3)</f>
        <v>234.68700000000001</v>
      </c>
    </row>
    <row r="40" spans="1:17" ht="15.75" thickBot="1" x14ac:dyDescent="0.3">
      <c r="A40" s="367" t="s">
        <v>51</v>
      </c>
      <c r="B40" s="368" t="s">
        <v>118</v>
      </c>
      <c r="C40" s="369">
        <f t="shared" ref="C40:Q40" si="6">ROUND(C22-C39,3)</f>
        <v>1.6439999999999999</v>
      </c>
      <c r="D40" s="370">
        <f t="shared" si="6"/>
        <v>1.3049999999999999</v>
      </c>
      <c r="E40" s="370">
        <f t="shared" si="6"/>
        <v>2.46</v>
      </c>
      <c r="F40" s="371">
        <f t="shared" si="6"/>
        <v>1.7589999999999999</v>
      </c>
      <c r="G40" s="372">
        <f t="shared" si="6"/>
        <v>1.7589999999999999</v>
      </c>
      <c r="H40" s="369">
        <f t="shared" si="6"/>
        <v>1.585</v>
      </c>
      <c r="I40" s="370">
        <f t="shared" si="6"/>
        <v>1.3460000000000001</v>
      </c>
      <c r="J40" s="370">
        <f t="shared" si="6"/>
        <v>2.5110000000000001</v>
      </c>
      <c r="K40" s="371">
        <f t="shared" si="6"/>
        <v>1.841</v>
      </c>
      <c r="L40" s="372">
        <f t="shared" si="6"/>
        <v>1.841</v>
      </c>
      <c r="M40" s="369">
        <f t="shared" si="6"/>
        <v>1.716</v>
      </c>
      <c r="N40" s="370">
        <f t="shared" si="6"/>
        <v>1.5920000000000001</v>
      </c>
      <c r="O40" s="370">
        <f t="shared" si="6"/>
        <v>2.7530000000000001</v>
      </c>
      <c r="P40" s="371">
        <f t="shared" si="6"/>
        <v>2.0720000000000001</v>
      </c>
      <c r="Q40" s="372">
        <f t="shared" si="6"/>
        <v>2.0720000000000001</v>
      </c>
    </row>
    <row r="41" spans="1:17" x14ac:dyDescent="0.25"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</row>
    <row r="42" spans="1:17" x14ac:dyDescent="0.25"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</row>
    <row r="43" spans="1:17" s="243" customFormat="1" ht="15" customHeight="1" x14ac:dyDescent="0.25">
      <c r="A43" s="240" t="s">
        <v>78</v>
      </c>
      <c r="B43" s="241"/>
      <c r="C43" s="281">
        <f t="shared" ref="C43:Q43" si="7">ROUND(C22-C39-C40,3)</f>
        <v>0</v>
      </c>
      <c r="D43" s="281">
        <f t="shared" si="7"/>
        <v>0</v>
      </c>
      <c r="E43" s="281">
        <f t="shared" si="7"/>
        <v>0</v>
      </c>
      <c r="F43" s="281">
        <f t="shared" si="7"/>
        <v>0</v>
      </c>
      <c r="G43" s="282">
        <f t="shared" si="7"/>
        <v>0</v>
      </c>
      <c r="H43" s="281">
        <f t="shared" si="7"/>
        <v>0</v>
      </c>
      <c r="I43" s="281">
        <f t="shared" si="7"/>
        <v>0</v>
      </c>
      <c r="J43" s="281">
        <f t="shared" si="7"/>
        <v>0</v>
      </c>
      <c r="K43" s="281">
        <f t="shared" si="7"/>
        <v>0</v>
      </c>
      <c r="L43" s="282">
        <f t="shared" si="7"/>
        <v>0</v>
      </c>
      <c r="M43" s="281">
        <f t="shared" si="7"/>
        <v>0</v>
      </c>
      <c r="N43" s="281">
        <f t="shared" si="7"/>
        <v>0</v>
      </c>
      <c r="O43" s="281">
        <f t="shared" si="7"/>
        <v>0</v>
      </c>
      <c r="P43" s="281">
        <f t="shared" si="7"/>
        <v>0</v>
      </c>
      <c r="Q43" s="282">
        <f t="shared" si="7"/>
        <v>0</v>
      </c>
    </row>
    <row r="44" spans="1:17" s="243" customFormat="1" x14ac:dyDescent="0.25">
      <c r="A44" s="244"/>
      <c r="B44" s="241"/>
      <c r="C44" s="281"/>
      <c r="D44" s="281"/>
      <c r="E44" s="281"/>
      <c r="F44" s="281"/>
      <c r="G44" s="282"/>
      <c r="H44" s="281"/>
      <c r="I44" s="281"/>
      <c r="J44" s="281"/>
      <c r="K44" s="281"/>
      <c r="L44" s="282"/>
      <c r="M44" s="281"/>
      <c r="N44" s="281"/>
      <c r="O44" s="281"/>
      <c r="P44" s="281"/>
      <c r="Q44" s="282"/>
    </row>
    <row r="45" spans="1:17" s="243" customFormat="1" x14ac:dyDescent="0.25">
      <c r="A45" s="245"/>
      <c r="B45" s="241"/>
      <c r="C45" s="281"/>
      <c r="D45" s="281"/>
      <c r="E45" s="281"/>
      <c r="F45" s="281"/>
      <c r="G45" s="282"/>
      <c r="H45" s="281"/>
      <c r="I45" s="281"/>
      <c r="J45" s="281"/>
      <c r="K45" s="281"/>
      <c r="L45" s="282"/>
      <c r="M45" s="281"/>
      <c r="N45" s="281"/>
      <c r="O45" s="281"/>
      <c r="P45" s="281"/>
      <c r="Q45" s="282"/>
    </row>
    <row r="46" spans="1:17" s="243" customFormat="1" x14ac:dyDescent="0.25">
      <c r="A46" s="240" t="s">
        <v>52</v>
      </c>
      <c r="B46" s="241"/>
      <c r="C46" s="281">
        <f t="shared" ref="C46:Q46" si="8">ROUND(C9+C10+C19-C23-C26-C31-C33-C36-C40,3)</f>
        <v>0</v>
      </c>
      <c r="D46" s="281">
        <f t="shared" si="8"/>
        <v>0</v>
      </c>
      <c r="E46" s="281">
        <f t="shared" si="8"/>
        <v>0</v>
      </c>
      <c r="F46" s="281">
        <f t="shared" si="8"/>
        <v>0</v>
      </c>
      <c r="G46" s="282">
        <f t="shared" si="8"/>
        <v>0</v>
      </c>
      <c r="H46" s="281">
        <f t="shared" si="8"/>
        <v>0</v>
      </c>
      <c r="I46" s="281">
        <f t="shared" si="8"/>
        <v>0</v>
      </c>
      <c r="J46" s="281">
        <f t="shared" si="8"/>
        <v>0</v>
      </c>
      <c r="K46" s="281">
        <f t="shared" si="8"/>
        <v>0</v>
      </c>
      <c r="L46" s="282">
        <f t="shared" si="8"/>
        <v>0</v>
      </c>
      <c r="M46" s="281">
        <f t="shared" si="8"/>
        <v>0</v>
      </c>
      <c r="N46" s="281">
        <f t="shared" si="8"/>
        <v>0</v>
      </c>
      <c r="O46" s="281">
        <f t="shared" si="8"/>
        <v>0</v>
      </c>
      <c r="P46" s="281">
        <f t="shared" si="8"/>
        <v>0</v>
      </c>
      <c r="Q46" s="282">
        <f t="shared" si="8"/>
        <v>0</v>
      </c>
    </row>
    <row r="47" spans="1:17" s="243" customFormat="1" x14ac:dyDescent="0.25">
      <c r="A47" s="245"/>
      <c r="B47" s="241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</row>
    <row r="170" spans="5:5" ht="15" customHeight="1" x14ac:dyDescent="0.25">
      <c r="E170" s="18">
        <f>E133-E45+'2. Прогноз. Без корректировки'!D170</f>
        <v>0</v>
      </c>
    </row>
  </sheetData>
  <sheetProtection algorithmName="SHA-512" hashValue="JauFv90X5hrEpvl1ow/bk84uQgOXbINvZ8dofnK4BNOFRUNbMmZFVZ+TieSWS3Y7M1YDR0nm6Apzq42zaO5rxg==" saltValue="dwZPIqxohqfO2yRaNzKYvg==" spinCount="100000" sheet="1" objects="1" scenarios="1"/>
  <mergeCells count="8">
    <mergeCell ref="H7:K7"/>
    <mergeCell ref="Q7:Q8"/>
    <mergeCell ref="M7:P7"/>
    <mergeCell ref="A7:A8"/>
    <mergeCell ref="B7:B8"/>
    <mergeCell ref="G7:G8"/>
    <mergeCell ref="C7:F7"/>
    <mergeCell ref="L7:L8"/>
  </mergeCells>
  <phoneticPr fontId="18" type="noConversion"/>
  <dataValidations count="3"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G20:G21 Q24:Q25 L20:L21 Q20:Q22">
      <formula1>-1000000000</formula1>
    </dataValidation>
    <dataValidation type="decimal" operator="greaterThan" allowBlank="1" showInputMessage="1" showErrorMessage="1" sqref="L15:L17 G22:G26 Q36 L22:L26 Q23 G15:G17 G36 Q26 L36 Q33 Q15:Q17 C18:F38 H18:K38 M18:P38">
      <formula1>-1000000000</formula1>
    </dataValidation>
    <dataValidation type="decimal" allowBlank="1" showInputMessage="1" showErrorMessage="1" sqref="G32 L32 Q32">
      <formula1>-1000000000</formula1>
      <formula2>1000000000000000</formula2>
    </dataValidation>
  </dataValidations>
  <printOptions horizontalCentered="1"/>
  <pageMargins left="3.937007874015748E-2" right="3.937007874015748E-2" top="0.35433070866141736" bottom="0.74803149606299213" header="0.31496062992125984" footer="0.31496062992125984"/>
  <pageSetup paperSize="9" scale="52" firstPageNumber="0" fitToHeight="0" orientation="landscape" r:id="rId1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outlinePr summaryBelow="0"/>
  </sheetPr>
  <dimension ref="A1:Q46"/>
  <sheetViews>
    <sheetView showGridLines="0" zoomScaleNormal="100" workbookViewId="0">
      <pane xSplit="2" ySplit="8" topLeftCell="D9" activePane="bottomRight" state="frozen"/>
      <selection pane="topRight" activeCell="C1" sqref="C1"/>
      <selection pane="bottomLeft" activeCell="A9" sqref="A9"/>
      <selection pane="bottomRight" activeCell="Q9" sqref="Q9"/>
    </sheetView>
  </sheetViews>
  <sheetFormatPr defaultRowHeight="15" outlineLevelRow="1" outlineLevelCol="1" x14ac:dyDescent="0.25"/>
  <cols>
    <col min="1" max="1" width="56.28515625" customWidth="1"/>
    <col min="2" max="2" width="10.5703125" customWidth="1"/>
    <col min="3" max="6" width="13.7109375" customWidth="1" outlineLevel="1"/>
    <col min="7" max="7" width="13.7109375" customWidth="1"/>
    <col min="8" max="11" width="13.7109375" customWidth="1" outlineLevel="1"/>
    <col min="12" max="12" width="13.7109375" customWidth="1"/>
    <col min="13" max="16" width="13.7109375" customWidth="1" outlineLevel="1"/>
    <col min="17" max="17" width="13.7109375" customWidth="1"/>
  </cols>
  <sheetData>
    <row r="1" spans="1:17" x14ac:dyDescent="0.25">
      <c r="A1" s="148"/>
      <c r="B1" s="149" t="s">
        <v>10</v>
      </c>
    </row>
    <row r="2" spans="1:17" x14ac:dyDescent="0.25">
      <c r="A2" s="150" t="s">
        <v>9</v>
      </c>
      <c r="B2" s="151"/>
    </row>
    <row r="3" spans="1:17" x14ac:dyDescent="0.25">
      <c r="A3" s="150" t="s">
        <v>124</v>
      </c>
      <c r="B3" s="157"/>
    </row>
    <row r="4" spans="1:17" x14ac:dyDescent="0.25">
      <c r="A4" s="152"/>
      <c r="B4" s="153"/>
    </row>
    <row r="5" spans="1:17" x14ac:dyDescent="0.25">
      <c r="A5" s="152"/>
      <c r="B5" s="153"/>
    </row>
    <row r="6" spans="1:17" ht="15.75" thickBot="1" x14ac:dyDescent="0.3">
      <c r="A6" s="9"/>
    </row>
    <row r="7" spans="1:17" x14ac:dyDescent="0.25">
      <c r="A7" s="482" t="s">
        <v>15</v>
      </c>
      <c r="B7" s="484" t="s">
        <v>36</v>
      </c>
      <c r="C7" s="477" t="str">
        <f>YEAR(Date)&amp;" год"</f>
        <v>2019 год</v>
      </c>
      <c r="D7" s="478"/>
      <c r="E7" s="478"/>
      <c r="F7" s="479"/>
      <c r="G7" s="480" t="str">
        <f>C7</f>
        <v>2019 год</v>
      </c>
      <c r="H7" s="477" t="str">
        <f>(LEFT(C7,4)+1)&amp;" год"</f>
        <v>2020 год</v>
      </c>
      <c r="I7" s="478"/>
      <c r="J7" s="478"/>
      <c r="K7" s="479"/>
      <c r="L7" s="480" t="str">
        <f>H7</f>
        <v>2020 год</v>
      </c>
      <c r="M7" s="477" t="str">
        <f>(LEFT(H7,4)+1)&amp;" год"</f>
        <v>2021 год</v>
      </c>
      <c r="N7" s="478"/>
      <c r="O7" s="478"/>
      <c r="P7" s="479"/>
      <c r="Q7" s="480" t="str">
        <f>M7</f>
        <v>2021 год</v>
      </c>
    </row>
    <row r="8" spans="1:17" ht="15.75" thickBot="1" x14ac:dyDescent="0.3">
      <c r="A8" s="483"/>
      <c r="B8" s="485"/>
      <c r="C8" s="426">
        <v>1</v>
      </c>
      <c r="D8" s="427">
        <v>2</v>
      </c>
      <c r="E8" s="427">
        <v>3</v>
      </c>
      <c r="F8" s="428">
        <v>4</v>
      </c>
      <c r="G8" s="481"/>
      <c r="H8" s="426">
        <v>1</v>
      </c>
      <c r="I8" s="427">
        <v>2</v>
      </c>
      <c r="J8" s="427">
        <v>3</v>
      </c>
      <c r="K8" s="428">
        <v>4</v>
      </c>
      <c r="L8" s="481"/>
      <c r="M8" s="426">
        <v>1</v>
      </c>
      <c r="N8" s="427">
        <v>2</v>
      </c>
      <c r="O8" s="427">
        <v>3</v>
      </c>
      <c r="P8" s="428">
        <v>4</v>
      </c>
      <c r="Q8" s="481"/>
    </row>
    <row r="9" spans="1:17" x14ac:dyDescent="0.25">
      <c r="A9" s="373" t="s">
        <v>38</v>
      </c>
      <c r="B9" s="324" t="s">
        <v>118</v>
      </c>
      <c r="C9" s="374">
        <f>ROUND(G9,3)</f>
        <v>1.8540000000000001</v>
      </c>
      <c r="D9" s="375">
        <f>ROUND(C40,3)</f>
        <v>1.6439999999999999</v>
      </c>
      <c r="E9" s="375">
        <f>ROUND(D40,3)</f>
        <v>1.3049999999999999</v>
      </c>
      <c r="F9" s="376">
        <f>ROUND(E40,3)</f>
        <v>2.46</v>
      </c>
      <c r="G9" s="377">
        <f>ROUND('1. Статистика'!AK61,3)</f>
        <v>1.8540000000000001</v>
      </c>
      <c r="H9" s="374">
        <f>ROUND(L9,3)</f>
        <v>1.7589999999999999</v>
      </c>
      <c r="I9" s="375">
        <f>ROUND(H40,3)</f>
        <v>1.585</v>
      </c>
      <c r="J9" s="375">
        <f>ROUND(I40,3)</f>
        <v>1.3460000000000001</v>
      </c>
      <c r="K9" s="376">
        <f>ROUND(J40,3)</f>
        <v>2.456</v>
      </c>
      <c r="L9" s="377">
        <f>ROUND(F40,3)</f>
        <v>1.7589999999999999</v>
      </c>
      <c r="M9" s="374">
        <f>ROUND(Q9,3)</f>
        <v>1.786</v>
      </c>
      <c r="N9" s="375">
        <f>ROUND(M40,3)</f>
        <v>1.661</v>
      </c>
      <c r="O9" s="375">
        <f>ROUND(N40,3)</f>
        <v>1.5369999999999999</v>
      </c>
      <c r="P9" s="376">
        <f>ROUND(O40,3)</f>
        <v>2.613</v>
      </c>
      <c r="Q9" s="377">
        <f>ROUND(K40,3)</f>
        <v>1.786</v>
      </c>
    </row>
    <row r="10" spans="1:17" ht="15" customHeight="1" x14ac:dyDescent="0.25">
      <c r="A10" s="378" t="s">
        <v>121</v>
      </c>
      <c r="B10" s="330" t="s">
        <v>118</v>
      </c>
      <c r="C10" s="379">
        <f t="shared" ref="C10:Q10" si="0">ROUND(C11+C18,3)</f>
        <v>36.49</v>
      </c>
      <c r="D10" s="380">
        <f t="shared" si="0"/>
        <v>57.395000000000003</v>
      </c>
      <c r="E10" s="380">
        <f t="shared" si="0"/>
        <v>48.539000000000001</v>
      </c>
      <c r="F10" s="380">
        <f t="shared" si="0"/>
        <v>34.637999999999998</v>
      </c>
      <c r="G10" s="381">
        <f t="shared" si="0"/>
        <v>177.06200000000001</v>
      </c>
      <c r="H10" s="380">
        <f t="shared" si="0"/>
        <v>36.676000000000002</v>
      </c>
      <c r="I10" s="380">
        <f t="shared" si="0"/>
        <v>57.688000000000002</v>
      </c>
      <c r="J10" s="380">
        <f t="shared" si="0"/>
        <v>48.786000000000001</v>
      </c>
      <c r="K10" s="380">
        <f t="shared" si="0"/>
        <v>34.814</v>
      </c>
      <c r="L10" s="381">
        <f t="shared" si="0"/>
        <v>177.964</v>
      </c>
      <c r="M10" s="380">
        <f t="shared" si="0"/>
        <v>36.875</v>
      </c>
      <c r="N10" s="380">
        <f t="shared" si="0"/>
        <v>58.003</v>
      </c>
      <c r="O10" s="380">
        <f t="shared" si="0"/>
        <v>49.052</v>
      </c>
      <c r="P10" s="380">
        <f t="shared" si="0"/>
        <v>35.003</v>
      </c>
      <c r="Q10" s="381">
        <f t="shared" si="0"/>
        <v>178.93299999999999</v>
      </c>
    </row>
    <row r="11" spans="1:17" s="51" customFormat="1" ht="15" customHeight="1" outlineLevel="1" x14ac:dyDescent="0.25">
      <c r="A11" s="382" t="s">
        <v>119</v>
      </c>
      <c r="B11" s="332" t="s">
        <v>118</v>
      </c>
      <c r="C11" s="383">
        <f>ROUND('2. Прогноз. Без корректировки'!C11,3)</f>
        <v>36.340000000000003</v>
      </c>
      <c r="D11" s="383">
        <f>ROUND('2. Прогноз. Без корректировки'!D11,3)</f>
        <v>57.155000000000001</v>
      </c>
      <c r="E11" s="383">
        <f>ROUND('2. Прогноз. Без корректировки'!E11,3)</f>
        <v>48.423999999999999</v>
      </c>
      <c r="F11" s="383">
        <f>ROUND('2. Прогноз. Без корректировки'!F11,3)</f>
        <v>34.488</v>
      </c>
      <c r="G11" s="384">
        <f>ROUND('2. Прогноз. Без корректировки'!G11,3)</f>
        <v>176.40700000000001</v>
      </c>
      <c r="H11" s="383">
        <f>ROUND('2. Прогноз. Без корректировки'!H11,3)</f>
        <v>36.526000000000003</v>
      </c>
      <c r="I11" s="383">
        <f>ROUND('2. Прогноз. Без корректировки'!I11,3)</f>
        <v>57.448</v>
      </c>
      <c r="J11" s="383">
        <f>ROUND('2. Прогноз. Без корректировки'!J11,3)</f>
        <v>48.670999999999999</v>
      </c>
      <c r="K11" s="383">
        <f>ROUND('2. Прогноз. Без корректировки'!K11,3)</f>
        <v>34.664000000000001</v>
      </c>
      <c r="L11" s="384">
        <f>ROUND('2. Прогноз. Без корректировки'!L11,3)</f>
        <v>177.309</v>
      </c>
      <c r="M11" s="383">
        <f>ROUND('2. Прогноз. Без корректировки'!M11,3)</f>
        <v>36.725000000000001</v>
      </c>
      <c r="N11" s="383">
        <f>ROUND('2. Прогноз. Без корректировки'!N11,3)</f>
        <v>57.762999999999998</v>
      </c>
      <c r="O11" s="383">
        <f>ROUND('2. Прогноз. Без корректировки'!O11,3)</f>
        <v>48.936999999999998</v>
      </c>
      <c r="P11" s="383">
        <f>ROUND('2. Прогноз. Без корректировки'!P11,3)</f>
        <v>34.853000000000002</v>
      </c>
      <c r="Q11" s="384">
        <f>ROUND('2. Прогноз. Без корректировки'!Q11,3)</f>
        <v>178.27799999999999</v>
      </c>
    </row>
    <row r="12" spans="1:17" ht="15" customHeight="1" outlineLevel="1" x14ac:dyDescent="0.25">
      <c r="A12" s="385" t="s">
        <v>83</v>
      </c>
      <c r="B12" s="336" t="s">
        <v>106</v>
      </c>
      <c r="C12" s="386"/>
      <c r="D12" s="387"/>
      <c r="E12" s="387"/>
      <c r="F12" s="388"/>
      <c r="G12" s="389">
        <f>ROUND('2. Прогноз. Без корректировки'!G12,3)</f>
        <v>0.246</v>
      </c>
      <c r="H12" s="386"/>
      <c r="I12" s="387"/>
      <c r="J12" s="387"/>
      <c r="K12" s="388"/>
      <c r="L12" s="340">
        <f>ROUND('2. Прогноз. Без корректировки'!L12,3)</f>
        <v>0.246</v>
      </c>
      <c r="M12" s="386"/>
      <c r="N12" s="387"/>
      <c r="O12" s="387"/>
      <c r="P12" s="388"/>
      <c r="Q12" s="340">
        <f>ROUND('2. Прогноз. Без корректировки'!Q12,3)</f>
        <v>0.246</v>
      </c>
    </row>
    <row r="13" spans="1:17" ht="15" customHeight="1" outlineLevel="1" x14ac:dyDescent="0.25">
      <c r="A13" s="385" t="s">
        <v>84</v>
      </c>
      <c r="B13" s="336" t="s">
        <v>106</v>
      </c>
      <c r="C13" s="386"/>
      <c r="D13" s="387"/>
      <c r="E13" s="387"/>
      <c r="F13" s="388"/>
      <c r="G13" s="389">
        <f>ROUND('2. Прогноз. Без корректировки'!G13,3)</f>
        <v>12.754</v>
      </c>
      <c r="H13" s="386"/>
      <c r="I13" s="387"/>
      <c r="J13" s="387"/>
      <c r="K13" s="388"/>
      <c r="L13" s="340">
        <f>ROUND('2. Прогноз. Без корректировки'!L13,3)</f>
        <v>12.754</v>
      </c>
      <c r="M13" s="386"/>
      <c r="N13" s="387"/>
      <c r="O13" s="387"/>
      <c r="P13" s="388"/>
      <c r="Q13" s="340">
        <f>ROUND('2. Прогноз. Без корректировки'!Q13,3)</f>
        <v>12.884</v>
      </c>
    </row>
    <row r="14" spans="1:17" ht="15" customHeight="1" outlineLevel="1" x14ac:dyDescent="0.25">
      <c r="A14" s="385" t="s">
        <v>85</v>
      </c>
      <c r="B14" s="336" t="s">
        <v>106</v>
      </c>
      <c r="C14" s="386"/>
      <c r="D14" s="387"/>
      <c r="E14" s="387"/>
      <c r="F14" s="388"/>
      <c r="G14" s="389">
        <f>ROUND('2. Прогноз. Без корректировки'!G14,3)</f>
        <v>72.150000000000006</v>
      </c>
      <c r="H14" s="386"/>
      <c r="I14" s="387"/>
      <c r="J14" s="387"/>
      <c r="K14" s="388"/>
      <c r="L14" s="340">
        <f>ROUND('2. Прогноз. Без корректировки'!L14,3)</f>
        <v>72.150000000000006</v>
      </c>
      <c r="M14" s="386"/>
      <c r="N14" s="387"/>
      <c r="O14" s="387"/>
      <c r="P14" s="388"/>
      <c r="Q14" s="340">
        <f>ROUND('2. Прогноз. Без корректировки'!Q14,3)</f>
        <v>72.150000000000006</v>
      </c>
    </row>
    <row r="15" spans="1:17" ht="15" customHeight="1" outlineLevel="1" x14ac:dyDescent="0.25">
      <c r="A15" s="385" t="s">
        <v>86</v>
      </c>
      <c r="B15" s="336" t="s">
        <v>143</v>
      </c>
      <c r="C15" s="386"/>
      <c r="D15" s="387"/>
      <c r="E15" s="387"/>
      <c r="F15" s="388"/>
      <c r="G15" s="340">
        <f>ROUND('2. Прогноз. Без корректировки'!G15,3)</f>
        <v>979.3</v>
      </c>
      <c r="H15" s="386"/>
      <c r="I15" s="387"/>
      <c r="J15" s="387"/>
      <c r="K15" s="388"/>
      <c r="L15" s="340">
        <f>ROUND('2. Прогноз. Без корректировки'!L15,3)</f>
        <v>979.3</v>
      </c>
      <c r="M15" s="386"/>
      <c r="N15" s="387"/>
      <c r="O15" s="387"/>
      <c r="P15" s="388"/>
      <c r="Q15" s="340">
        <f>ROUND('2. Прогноз. Без корректировки'!Q15,3)</f>
        <v>979.3</v>
      </c>
    </row>
    <row r="16" spans="1:17" ht="15" customHeight="1" outlineLevel="1" x14ac:dyDescent="0.25">
      <c r="A16" s="385" t="s">
        <v>87</v>
      </c>
      <c r="B16" s="336" t="s">
        <v>143</v>
      </c>
      <c r="C16" s="386"/>
      <c r="D16" s="387"/>
      <c r="E16" s="387"/>
      <c r="F16" s="388"/>
      <c r="G16" s="340">
        <f>ROUND('2. Прогноз. Без корректировки'!G16,3)</f>
        <v>3013.3</v>
      </c>
      <c r="H16" s="386"/>
      <c r="I16" s="387"/>
      <c r="J16" s="387"/>
      <c r="K16" s="388"/>
      <c r="L16" s="340">
        <f>ROUND('2. Прогноз. Без корректировки'!L16,3)</f>
        <v>3013.3</v>
      </c>
      <c r="M16" s="386"/>
      <c r="N16" s="387"/>
      <c r="O16" s="387"/>
      <c r="P16" s="388"/>
      <c r="Q16" s="340">
        <f>ROUND('2. Прогноз. Без корректировки'!Q16,3)</f>
        <v>3013.3</v>
      </c>
    </row>
    <row r="17" spans="1:17" ht="15" customHeight="1" outlineLevel="1" x14ac:dyDescent="0.25">
      <c r="A17" s="385" t="s">
        <v>88</v>
      </c>
      <c r="B17" s="336" t="s">
        <v>143</v>
      </c>
      <c r="C17" s="386"/>
      <c r="D17" s="387"/>
      <c r="E17" s="387"/>
      <c r="F17" s="388"/>
      <c r="G17" s="340">
        <f>ROUND('2. Прогноз. Без корректировки'!G17,3)</f>
        <v>1909</v>
      </c>
      <c r="H17" s="386"/>
      <c r="I17" s="387"/>
      <c r="J17" s="387"/>
      <c r="K17" s="388"/>
      <c r="L17" s="340">
        <f>ROUND('2. Прогноз. Без корректировки'!L17,3)</f>
        <v>1921.5</v>
      </c>
      <c r="M17" s="386"/>
      <c r="N17" s="387"/>
      <c r="O17" s="387"/>
      <c r="P17" s="388"/>
      <c r="Q17" s="340">
        <f>ROUND('2. Прогноз. Без корректировки'!Q17,3)</f>
        <v>1929.5</v>
      </c>
    </row>
    <row r="18" spans="1:17" s="51" customFormat="1" ht="15" customHeight="1" outlineLevel="1" x14ac:dyDescent="0.25">
      <c r="A18" s="382" t="s">
        <v>120</v>
      </c>
      <c r="B18" s="332" t="s">
        <v>118</v>
      </c>
      <c r="C18" s="383">
        <f>ROUND('2. Прогноз. Без корректировки'!C18,3)</f>
        <v>0.15</v>
      </c>
      <c r="D18" s="390">
        <f>ROUND('2. Прогноз. Без корректировки'!D18,3)</f>
        <v>0.24</v>
      </c>
      <c r="E18" s="390">
        <f>ROUND('2. Прогноз. Без корректировки'!E18,3)</f>
        <v>0.115</v>
      </c>
      <c r="F18" s="390">
        <f>ROUND('2. Прогноз. Без корректировки'!F18,3)</f>
        <v>0.15</v>
      </c>
      <c r="G18" s="384">
        <f>ROUND(SUM(C18:F18),3)</f>
        <v>0.65500000000000003</v>
      </c>
      <c r="H18" s="390">
        <f>ROUND(C18,3)</f>
        <v>0.15</v>
      </c>
      <c r="I18" s="390">
        <f>ROUND(D18,3)</f>
        <v>0.24</v>
      </c>
      <c r="J18" s="390">
        <f>ROUND(E18,3)</f>
        <v>0.115</v>
      </c>
      <c r="K18" s="390">
        <f>ROUND(F18,3)</f>
        <v>0.15</v>
      </c>
      <c r="L18" s="384">
        <f>ROUND(SUM(H18:K18),3)</f>
        <v>0.65500000000000003</v>
      </c>
      <c r="M18" s="390">
        <f>ROUND(H18,3)</f>
        <v>0.15</v>
      </c>
      <c r="N18" s="390">
        <f>ROUND(I18,3)</f>
        <v>0.24</v>
      </c>
      <c r="O18" s="390">
        <f>ROUND(J18,3)</f>
        <v>0.115</v>
      </c>
      <c r="P18" s="390">
        <f>ROUND(K18,3)</f>
        <v>0.15</v>
      </c>
      <c r="Q18" s="384">
        <f>ROUND(SUM(M18:P18),3)</f>
        <v>0.65500000000000003</v>
      </c>
    </row>
    <row r="19" spans="1:17" ht="15" customHeight="1" x14ac:dyDescent="0.25">
      <c r="A19" s="378" t="s">
        <v>39</v>
      </c>
      <c r="B19" s="330" t="s">
        <v>118</v>
      </c>
      <c r="C19" s="379">
        <f t="shared" ref="C19:Q19" si="1">ROUND(C20+C21,3)</f>
        <v>18.3</v>
      </c>
      <c r="D19" s="380">
        <f t="shared" si="1"/>
        <v>14.4</v>
      </c>
      <c r="E19" s="380">
        <f t="shared" si="1"/>
        <v>22</v>
      </c>
      <c r="F19" s="391">
        <f t="shared" si="1"/>
        <v>2.9</v>
      </c>
      <c r="G19" s="381">
        <f t="shared" si="1"/>
        <v>57.6</v>
      </c>
      <c r="H19" s="379">
        <f t="shared" si="1"/>
        <v>18.149999999999999</v>
      </c>
      <c r="I19" s="380">
        <f t="shared" si="1"/>
        <v>14.2</v>
      </c>
      <c r="J19" s="380">
        <f t="shared" si="1"/>
        <v>21.7</v>
      </c>
      <c r="K19" s="391">
        <f t="shared" si="1"/>
        <v>2.7</v>
      </c>
      <c r="L19" s="381">
        <f t="shared" si="1"/>
        <v>56.75</v>
      </c>
      <c r="M19" s="379">
        <f t="shared" si="1"/>
        <v>18</v>
      </c>
      <c r="N19" s="380">
        <f t="shared" si="1"/>
        <v>14</v>
      </c>
      <c r="O19" s="380">
        <f t="shared" si="1"/>
        <v>21.4</v>
      </c>
      <c r="P19" s="391">
        <f t="shared" si="1"/>
        <v>2.5</v>
      </c>
      <c r="Q19" s="381">
        <f t="shared" si="1"/>
        <v>55.9</v>
      </c>
    </row>
    <row r="20" spans="1:17" s="84" customFormat="1" ht="15" customHeight="1" outlineLevel="1" x14ac:dyDescent="0.25">
      <c r="A20" s="392" t="s">
        <v>40</v>
      </c>
      <c r="B20" s="336" t="s">
        <v>118</v>
      </c>
      <c r="C20" s="393">
        <f>ROUND('1. Статистика'!N43,3)</f>
        <v>15</v>
      </c>
      <c r="D20" s="394">
        <f>ROUND('1. Статистика'!O43,3)</f>
        <v>7.3</v>
      </c>
      <c r="E20" s="394">
        <f>ROUND('1. Статистика'!P43,3)</f>
        <v>15.1</v>
      </c>
      <c r="F20" s="395">
        <f>ROUND('1. Статистика'!Q43,3)</f>
        <v>8.9</v>
      </c>
      <c r="G20" s="396">
        <f>ROUND(SUM(C20:F20),3)</f>
        <v>46.3</v>
      </c>
      <c r="H20" s="393">
        <f>ROUND(C19,3)</f>
        <v>18.3</v>
      </c>
      <c r="I20" s="394">
        <f>ROUND(D19,3)</f>
        <v>14.4</v>
      </c>
      <c r="J20" s="394">
        <f>ROUND(E19,3)</f>
        <v>22</v>
      </c>
      <c r="K20" s="395">
        <f>ROUND(F19,3)</f>
        <v>2.9</v>
      </c>
      <c r="L20" s="396">
        <f>ROUND(SUM(H20:K20),3)</f>
        <v>57.6</v>
      </c>
      <c r="M20" s="393">
        <f>ROUND(H19,3)</f>
        <v>18.149999999999999</v>
      </c>
      <c r="N20" s="394">
        <f>ROUND(I19,3)</f>
        <v>14.2</v>
      </c>
      <c r="O20" s="394">
        <f>ROUND(J19,3)</f>
        <v>21.7</v>
      </c>
      <c r="P20" s="395">
        <f>ROUND(K19,3)</f>
        <v>2.7</v>
      </c>
      <c r="Q20" s="396">
        <f>ROUND(SUM(M20:P20),3)</f>
        <v>56.75</v>
      </c>
    </row>
    <row r="21" spans="1:17" s="84" customFormat="1" outlineLevel="1" x14ac:dyDescent="0.25">
      <c r="A21" s="392" t="s">
        <v>41</v>
      </c>
      <c r="B21" s="336" t="s">
        <v>118</v>
      </c>
      <c r="C21" s="393">
        <f>ROUND('1. Статистика'!C88-C20,3)</f>
        <v>3.3</v>
      </c>
      <c r="D21" s="394">
        <f>ROUND('1. Статистика'!D88-D20,3)</f>
        <v>7.1</v>
      </c>
      <c r="E21" s="394">
        <f>ROUND('1. Статистика'!E88-E20,3)</f>
        <v>6.9</v>
      </c>
      <c r="F21" s="395">
        <f>ROUND('1. Статистика'!F88-F20,3)</f>
        <v>-6</v>
      </c>
      <c r="G21" s="396">
        <f>ROUND(SUM(C21:F21),3)</f>
        <v>11.3</v>
      </c>
      <c r="H21" s="393">
        <f>ROUND('1. Статистика'!G88-H20,3)</f>
        <v>-0.15</v>
      </c>
      <c r="I21" s="394">
        <f>ROUND('1. Статистика'!H88-I20,3)</f>
        <v>-0.2</v>
      </c>
      <c r="J21" s="394">
        <f>ROUND('1. Статистика'!I88-J20,3)</f>
        <v>-0.3</v>
      </c>
      <c r="K21" s="395">
        <f>ROUND('1. Статистика'!J88-K20,3)</f>
        <v>-0.2</v>
      </c>
      <c r="L21" s="396">
        <f>ROUND(SUM(H21:K21),3)</f>
        <v>-0.85</v>
      </c>
      <c r="M21" s="393">
        <f>ROUND('1. Статистика'!K88-M20,3)</f>
        <v>-0.15</v>
      </c>
      <c r="N21" s="394">
        <f>ROUND('1. Статистика'!L88-N20,3)</f>
        <v>-0.2</v>
      </c>
      <c r="O21" s="394">
        <f>ROUND('1. Статистика'!M88-O20,3)</f>
        <v>-0.3</v>
      </c>
      <c r="P21" s="395">
        <f>ROUND('1. Статистика'!N88-P20,3)</f>
        <v>-0.2</v>
      </c>
      <c r="Q21" s="396">
        <f>ROUND(SUM(M21:P21),3)</f>
        <v>-0.85</v>
      </c>
    </row>
    <row r="22" spans="1:17" x14ac:dyDescent="0.25">
      <c r="A22" s="397" t="s">
        <v>37</v>
      </c>
      <c r="B22" s="346" t="s">
        <v>118</v>
      </c>
      <c r="C22" s="347">
        <f t="shared" ref="C22:Q22" si="2">ROUND(C9+C10+C19,3)</f>
        <v>56.643999999999998</v>
      </c>
      <c r="D22" s="348">
        <f t="shared" si="2"/>
        <v>73.438999999999993</v>
      </c>
      <c r="E22" s="348">
        <f t="shared" si="2"/>
        <v>71.843999999999994</v>
      </c>
      <c r="F22" s="349">
        <f t="shared" si="2"/>
        <v>39.997999999999998</v>
      </c>
      <c r="G22" s="350">
        <f t="shared" si="2"/>
        <v>236.51599999999999</v>
      </c>
      <c r="H22" s="347">
        <f t="shared" si="2"/>
        <v>56.585000000000001</v>
      </c>
      <c r="I22" s="348">
        <f t="shared" si="2"/>
        <v>73.472999999999999</v>
      </c>
      <c r="J22" s="348">
        <f t="shared" si="2"/>
        <v>71.831999999999994</v>
      </c>
      <c r="K22" s="349">
        <f t="shared" si="2"/>
        <v>39.97</v>
      </c>
      <c r="L22" s="350">
        <f t="shared" si="2"/>
        <v>236.47300000000001</v>
      </c>
      <c r="M22" s="347">
        <f t="shared" si="2"/>
        <v>56.661000000000001</v>
      </c>
      <c r="N22" s="348">
        <f t="shared" si="2"/>
        <v>73.664000000000001</v>
      </c>
      <c r="O22" s="348">
        <f t="shared" si="2"/>
        <v>71.989000000000004</v>
      </c>
      <c r="P22" s="349">
        <f t="shared" si="2"/>
        <v>40.116</v>
      </c>
      <c r="Q22" s="350">
        <f t="shared" si="2"/>
        <v>236.619</v>
      </c>
    </row>
    <row r="23" spans="1:17" ht="15" customHeight="1" x14ac:dyDescent="0.25">
      <c r="A23" s="378" t="s">
        <v>103</v>
      </c>
      <c r="B23" s="351" t="s">
        <v>118</v>
      </c>
      <c r="C23" s="379">
        <f t="shared" ref="C23:Q23" si="3">ROUND(C24+C25,3)</f>
        <v>5.4</v>
      </c>
      <c r="D23" s="380">
        <f t="shared" si="3"/>
        <v>6.9</v>
      </c>
      <c r="E23" s="380">
        <f t="shared" si="3"/>
        <v>3.6</v>
      </c>
      <c r="F23" s="380">
        <f t="shared" si="3"/>
        <v>3.8</v>
      </c>
      <c r="G23" s="381">
        <f t="shared" si="3"/>
        <v>19.7</v>
      </c>
      <c r="H23" s="379">
        <f t="shared" si="3"/>
        <v>5.4</v>
      </c>
      <c r="I23" s="379">
        <f t="shared" si="3"/>
        <v>6.9</v>
      </c>
      <c r="J23" s="379">
        <f t="shared" si="3"/>
        <v>3.6</v>
      </c>
      <c r="K23" s="379">
        <f t="shared" si="3"/>
        <v>3.8</v>
      </c>
      <c r="L23" s="381">
        <f t="shared" si="3"/>
        <v>19.7</v>
      </c>
      <c r="M23" s="379">
        <f t="shared" si="3"/>
        <v>5.4</v>
      </c>
      <c r="N23" s="379">
        <f t="shared" si="3"/>
        <v>6.9</v>
      </c>
      <c r="O23" s="379">
        <f t="shared" si="3"/>
        <v>3.6</v>
      </c>
      <c r="P23" s="379">
        <f t="shared" si="3"/>
        <v>3.8</v>
      </c>
      <c r="Q23" s="381">
        <f t="shared" si="3"/>
        <v>19.7</v>
      </c>
    </row>
    <row r="24" spans="1:17" s="3" customFormat="1" ht="16.149999999999999" customHeight="1" outlineLevel="1" x14ac:dyDescent="0.25">
      <c r="A24" s="392" t="s">
        <v>96</v>
      </c>
      <c r="B24" s="336" t="s">
        <v>118</v>
      </c>
      <c r="C24" s="393">
        <f>ROUND('1. Статистика'!N45,3)</f>
        <v>3.5</v>
      </c>
      <c r="D24" s="394">
        <f>ROUND('1. Статистика'!O45,3)</f>
        <v>2.2999999999999998</v>
      </c>
      <c r="E24" s="394">
        <f>ROUND('1. Статистика'!P45,3)</f>
        <v>2</v>
      </c>
      <c r="F24" s="394">
        <f>ROUND('1. Статистика'!Q45,3)</f>
        <v>3.8</v>
      </c>
      <c r="G24" s="396">
        <f>ROUND(SUM(C24:F24),3)</f>
        <v>11.6</v>
      </c>
      <c r="H24" s="393">
        <f>ROUND(C23,3)</f>
        <v>5.4</v>
      </c>
      <c r="I24" s="394">
        <f>ROUND(D23,3)</f>
        <v>6.9</v>
      </c>
      <c r="J24" s="394">
        <f>ROUND(E23,3)</f>
        <v>3.6</v>
      </c>
      <c r="K24" s="395">
        <f>ROUND(F23,3)</f>
        <v>3.8</v>
      </c>
      <c r="L24" s="396">
        <f>ROUND(SUM(H24:K24),3)</f>
        <v>19.7</v>
      </c>
      <c r="M24" s="393">
        <f>ROUND(H23,3)</f>
        <v>5.4</v>
      </c>
      <c r="N24" s="394">
        <f>ROUND(I23,3)</f>
        <v>6.9</v>
      </c>
      <c r="O24" s="394">
        <f>ROUND(J23,3)</f>
        <v>3.6</v>
      </c>
      <c r="P24" s="395">
        <f>ROUND(K23,3)</f>
        <v>3.8</v>
      </c>
      <c r="Q24" s="396">
        <f>ROUND(SUM(M24:P24),3)</f>
        <v>19.7</v>
      </c>
    </row>
    <row r="25" spans="1:17" s="3" customFormat="1" ht="17.100000000000001" customHeight="1" outlineLevel="1" x14ac:dyDescent="0.25">
      <c r="A25" s="392" t="s">
        <v>97</v>
      </c>
      <c r="B25" s="336" t="s">
        <v>118</v>
      </c>
      <c r="C25" s="393">
        <f>ROUND('2. Прогноз. Без корректировки'!C25,3)</f>
        <v>1.9</v>
      </c>
      <c r="D25" s="394">
        <f>ROUND('2. Прогноз. Без корректировки'!D25,3)</f>
        <v>4.5999999999999996</v>
      </c>
      <c r="E25" s="394">
        <f>ROUND('2. Прогноз. Без корректировки'!E25,3)</f>
        <v>1.6</v>
      </c>
      <c r="F25" s="394">
        <f>ROUND('2. Прогноз. Без корректировки'!F25,3)</f>
        <v>0</v>
      </c>
      <c r="G25" s="396">
        <f>ROUND(SUM(C25:F25),3)</f>
        <v>8.1</v>
      </c>
      <c r="H25" s="394">
        <f>ROUND('2. Прогноз. Без корректировки'!H25,3)</f>
        <v>0</v>
      </c>
      <c r="I25" s="394">
        <f>ROUND('2. Прогноз. Без корректировки'!I25,3)</f>
        <v>0</v>
      </c>
      <c r="J25" s="394">
        <f>ROUND('2. Прогноз. Без корректировки'!J25,3)</f>
        <v>0</v>
      </c>
      <c r="K25" s="394">
        <f>ROUND('2. Прогноз. Без корректировки'!K25,3)</f>
        <v>0</v>
      </c>
      <c r="L25" s="396">
        <f>ROUND(SUM(H25:K25),3)</f>
        <v>0</v>
      </c>
      <c r="M25" s="394">
        <f>ROUND('2. Прогноз. Без корректировки'!M25,3)</f>
        <v>0</v>
      </c>
      <c r="N25" s="394">
        <f>ROUND('2. Прогноз. Без корректировки'!N25,3)</f>
        <v>0</v>
      </c>
      <c r="O25" s="394">
        <f>ROUND('2. Прогноз. Без корректировки'!O25,3)</f>
        <v>0</v>
      </c>
      <c r="P25" s="394">
        <f>ROUND('2. Прогноз. Без корректировки'!P25,3)</f>
        <v>0</v>
      </c>
      <c r="Q25" s="396">
        <f>ROUND(SUM(M25:P25),3)</f>
        <v>0</v>
      </c>
    </row>
    <row r="26" spans="1:17" x14ac:dyDescent="0.25">
      <c r="A26" s="378" t="s">
        <v>98</v>
      </c>
      <c r="B26" s="351" t="s">
        <v>118</v>
      </c>
      <c r="C26" s="283">
        <f t="shared" ref="C26:Q26" si="4">ROUND(C27+C28-C29+C30,3)</f>
        <v>0</v>
      </c>
      <c r="D26" s="284">
        <f t="shared" si="4"/>
        <v>0</v>
      </c>
      <c r="E26" s="284">
        <f t="shared" si="4"/>
        <v>0</v>
      </c>
      <c r="F26" s="343">
        <f t="shared" si="4"/>
        <v>0</v>
      </c>
      <c r="G26" s="160">
        <f t="shared" si="4"/>
        <v>0</v>
      </c>
      <c r="H26" s="283">
        <f t="shared" si="4"/>
        <v>0</v>
      </c>
      <c r="I26" s="284">
        <f t="shared" si="4"/>
        <v>0</v>
      </c>
      <c r="J26" s="284">
        <f t="shared" si="4"/>
        <v>0</v>
      </c>
      <c r="K26" s="343">
        <f t="shared" si="4"/>
        <v>0</v>
      </c>
      <c r="L26" s="160">
        <f t="shared" si="4"/>
        <v>0</v>
      </c>
      <c r="M26" s="283">
        <f t="shared" si="4"/>
        <v>0</v>
      </c>
      <c r="N26" s="284">
        <f t="shared" si="4"/>
        <v>0</v>
      </c>
      <c r="O26" s="284">
        <f t="shared" si="4"/>
        <v>0</v>
      </c>
      <c r="P26" s="343">
        <f t="shared" si="4"/>
        <v>0</v>
      </c>
      <c r="Q26" s="160">
        <f t="shared" si="4"/>
        <v>0</v>
      </c>
    </row>
    <row r="27" spans="1:17" s="84" customFormat="1" outlineLevel="1" x14ac:dyDescent="0.25">
      <c r="A27" s="392" t="s">
        <v>95</v>
      </c>
      <c r="B27" s="336" t="s">
        <v>118</v>
      </c>
      <c r="C27" s="393">
        <f>ROUND('1. Статистика'!N46,3)</f>
        <v>0</v>
      </c>
      <c r="D27" s="394">
        <f>ROUND('1. Статистика'!O46,3)</f>
        <v>0</v>
      </c>
      <c r="E27" s="394">
        <f>ROUND('1. Статистика'!P46,3)</f>
        <v>0</v>
      </c>
      <c r="F27" s="394">
        <f>ROUND('1. Статистика'!Q46,3)</f>
        <v>0</v>
      </c>
      <c r="G27" s="396">
        <f>ROUND(SUM(C27:F27),3)</f>
        <v>0</v>
      </c>
      <c r="H27" s="393">
        <f>ROUND(C26,3)</f>
        <v>0</v>
      </c>
      <c r="I27" s="394">
        <f>ROUND(D26,3)</f>
        <v>0</v>
      </c>
      <c r="J27" s="394">
        <f>ROUND(E26,3)</f>
        <v>0</v>
      </c>
      <c r="K27" s="395">
        <f>ROUND(F26,3)</f>
        <v>0</v>
      </c>
      <c r="L27" s="396">
        <f>ROUND(SUM(H27:K27),3)</f>
        <v>0</v>
      </c>
      <c r="M27" s="393">
        <f>ROUND(H26,3)</f>
        <v>0</v>
      </c>
      <c r="N27" s="394">
        <f>ROUND(I26,3)</f>
        <v>0</v>
      </c>
      <c r="O27" s="394">
        <f>ROUND(J26,3)</f>
        <v>0</v>
      </c>
      <c r="P27" s="395">
        <f>ROUND(K26,3)</f>
        <v>0</v>
      </c>
      <c r="Q27" s="396">
        <f>ROUND(SUM(M27:P27),3)</f>
        <v>0</v>
      </c>
    </row>
    <row r="28" spans="1:17" s="84" customFormat="1" ht="30" outlineLevel="1" x14ac:dyDescent="0.25">
      <c r="A28" s="398" t="s">
        <v>43</v>
      </c>
      <c r="B28" s="336" t="s">
        <v>118</v>
      </c>
      <c r="C28" s="393">
        <f>ROUND('1. Статистика'!D34,3)</f>
        <v>0</v>
      </c>
      <c r="D28" s="394">
        <f>ROUND('1. Статистика'!E34,3)</f>
        <v>0</v>
      </c>
      <c r="E28" s="394">
        <f>ROUND('1. Статистика'!F34,3)</f>
        <v>0</v>
      </c>
      <c r="F28" s="395">
        <f>ROUND('1. Статистика'!G34,3)</f>
        <v>0</v>
      </c>
      <c r="G28" s="396">
        <f>ROUND(SUM(C28:F28),3)</f>
        <v>0</v>
      </c>
      <c r="H28" s="393">
        <f>ROUND('1. Статистика'!I34,3)</f>
        <v>0</v>
      </c>
      <c r="I28" s="394">
        <f>ROUND('1. Статистика'!J34,3)</f>
        <v>0</v>
      </c>
      <c r="J28" s="394">
        <f>ROUND('1. Статистика'!K34,3)</f>
        <v>0</v>
      </c>
      <c r="K28" s="395">
        <f>ROUND('1. Статистика'!L34,3)</f>
        <v>0</v>
      </c>
      <c r="L28" s="396">
        <f>ROUND(SUM(H28:K28),3)</f>
        <v>0</v>
      </c>
      <c r="M28" s="393">
        <f>ROUND('1. Статистика'!N34,3)</f>
        <v>0</v>
      </c>
      <c r="N28" s="394">
        <f>ROUND('1. Статистика'!O34,3)</f>
        <v>0</v>
      </c>
      <c r="O28" s="394">
        <f>ROUND('1. Статистика'!P34,3)</f>
        <v>0</v>
      </c>
      <c r="P28" s="395">
        <f>ROUND('1. Статистика'!Q34,3)</f>
        <v>0</v>
      </c>
      <c r="Q28" s="396">
        <f>ROUND(SUM(M28:P28),3)</f>
        <v>0</v>
      </c>
    </row>
    <row r="29" spans="1:17" s="84" customFormat="1" ht="30" outlineLevel="1" x14ac:dyDescent="0.25">
      <c r="A29" s="398" t="s">
        <v>44</v>
      </c>
      <c r="B29" s="336" t="s">
        <v>118</v>
      </c>
      <c r="C29" s="393">
        <f>ROUND('2. Прогноз. Без корректировки'!C29,3)</f>
        <v>0</v>
      </c>
      <c r="D29" s="394">
        <f>ROUND('2. Прогноз. Без корректировки'!D29,3)</f>
        <v>0</v>
      </c>
      <c r="E29" s="394">
        <f>ROUND('2. Прогноз. Без корректировки'!E29,3)</f>
        <v>0</v>
      </c>
      <c r="F29" s="395">
        <f>ROUND('2. Прогноз. Без корректировки'!F29,3)</f>
        <v>0</v>
      </c>
      <c r="G29" s="396">
        <f>ROUND(SUM(C29:F29),3)</f>
        <v>0</v>
      </c>
      <c r="H29" s="393">
        <f>ROUND('2. Прогноз. Без корректировки'!H29,3)</f>
        <v>0</v>
      </c>
      <c r="I29" s="394">
        <f>ROUND('2. Прогноз. Без корректировки'!I29,3)</f>
        <v>0</v>
      </c>
      <c r="J29" s="394">
        <f>ROUND('2. Прогноз. Без корректировки'!J29,3)</f>
        <v>0</v>
      </c>
      <c r="K29" s="395">
        <f>ROUND('2. Прогноз. Без корректировки'!K29,3)</f>
        <v>0</v>
      </c>
      <c r="L29" s="396">
        <f>ROUND(SUM(H29:K29),3)</f>
        <v>0</v>
      </c>
      <c r="M29" s="393">
        <f>ROUND('2. Прогноз. Без корректировки'!M29,3)</f>
        <v>0</v>
      </c>
      <c r="N29" s="394">
        <f>ROUND('2. Прогноз. Без корректировки'!N29,3)</f>
        <v>0</v>
      </c>
      <c r="O29" s="394">
        <f>ROUND('2. Прогноз. Без корректировки'!O29,3)</f>
        <v>0</v>
      </c>
      <c r="P29" s="395">
        <f>ROUND('2. Прогноз. Без корректировки'!P29,3)</f>
        <v>0</v>
      </c>
      <c r="Q29" s="396">
        <f>ROUND(SUM(M29:P29),3)</f>
        <v>0</v>
      </c>
    </row>
    <row r="30" spans="1:17" s="84" customFormat="1" ht="30" outlineLevel="1" x14ac:dyDescent="0.25">
      <c r="A30" s="398" t="s">
        <v>45</v>
      </c>
      <c r="B30" s="336" t="s">
        <v>118</v>
      </c>
      <c r="C30" s="393">
        <f>ROUND('2. Прогноз. Без корректировки'!C30,3)</f>
        <v>0</v>
      </c>
      <c r="D30" s="394">
        <f>ROUND('2. Прогноз. Без корректировки'!D30,3)</f>
        <v>0</v>
      </c>
      <c r="E30" s="394">
        <f>ROUND('2. Прогноз. Без корректировки'!E30,3)</f>
        <v>0</v>
      </c>
      <c r="F30" s="395">
        <f>ROUND('2. Прогноз. Без корректировки'!F30,3)</f>
        <v>0</v>
      </c>
      <c r="G30" s="396">
        <f>ROUND(SUM(C30:F30),3)</f>
        <v>0</v>
      </c>
      <c r="H30" s="393">
        <f>ROUND('2. Прогноз. Без корректировки'!H30,3)</f>
        <v>0</v>
      </c>
      <c r="I30" s="394">
        <f>ROUND('2. Прогноз. Без корректировки'!I30,3)</f>
        <v>0</v>
      </c>
      <c r="J30" s="394">
        <f>ROUND('2. Прогноз. Без корректировки'!J30,3)</f>
        <v>0</v>
      </c>
      <c r="K30" s="395">
        <f>ROUND('2. Прогноз. Без корректировки'!K30,3)</f>
        <v>0</v>
      </c>
      <c r="L30" s="396">
        <f>ROUND(SUM(H30:K30),3)</f>
        <v>0</v>
      </c>
      <c r="M30" s="393">
        <f>ROUND('2. Прогноз. Без корректировки'!M30,3)</f>
        <v>0</v>
      </c>
      <c r="N30" s="394">
        <f>ROUND('2. Прогноз. Без корректировки'!N30,3)</f>
        <v>0</v>
      </c>
      <c r="O30" s="394">
        <f>ROUND('2. Прогноз. Без корректировки'!O30,3)</f>
        <v>0</v>
      </c>
      <c r="P30" s="395">
        <f>ROUND('2. Прогноз. Без корректировки'!P30,3)</f>
        <v>0</v>
      </c>
      <c r="Q30" s="396">
        <f>ROUND(SUM(M30:P30),3)</f>
        <v>0</v>
      </c>
    </row>
    <row r="31" spans="1:17" x14ac:dyDescent="0.25">
      <c r="A31" s="378" t="s">
        <v>99</v>
      </c>
      <c r="B31" s="356" t="s">
        <v>118</v>
      </c>
      <c r="C31" s="399">
        <f>ROUND('2. Прогноз. Без корректировки'!C31,3)</f>
        <v>0</v>
      </c>
      <c r="D31" s="400">
        <f>ROUND('2. Прогноз. Без корректировки'!D31,3)</f>
        <v>3.4000000000000002E-2</v>
      </c>
      <c r="E31" s="400">
        <f>ROUND('2. Прогноз. Без корректировки'!E31,3)</f>
        <v>3.4000000000000002E-2</v>
      </c>
      <c r="F31" s="401">
        <f>ROUND('2. Прогноз. Без корректировки'!F31,3)</f>
        <v>0.23899999999999999</v>
      </c>
      <c r="G31" s="402">
        <f>ROUND('2. Прогноз. Без корректировки'!G31,3)</f>
        <v>0.307</v>
      </c>
      <c r="H31" s="399">
        <f>ROUND('2. Прогноз. Без корректировки'!H31,3)</f>
        <v>0</v>
      </c>
      <c r="I31" s="400">
        <f>ROUND('2. Прогноз. Без корректировки'!I31,3)</f>
        <v>2.7E-2</v>
      </c>
      <c r="J31" s="400">
        <f>ROUND('2. Прогноз. Без корректировки'!J31,3)</f>
        <v>2.5999999999999999E-2</v>
      </c>
      <c r="K31" s="401">
        <f>ROUND('2. Прогноз. Без корректировки'!K31,3)</f>
        <v>0.184</v>
      </c>
      <c r="L31" s="402">
        <f>ROUND('2. Прогноз. Без корректировки'!L31,3)</f>
        <v>0.23699999999999999</v>
      </c>
      <c r="M31" s="399">
        <f>ROUND('2. Прогноз. Без корректировки'!M31,3)</f>
        <v>0</v>
      </c>
      <c r="N31" s="400">
        <f>ROUND('2. Прогноз. Без корректировки'!N31,3)</f>
        <v>2.7E-2</v>
      </c>
      <c r="O31" s="400">
        <f>ROUND('2. Прогноз. Без корректировки'!O31,3)</f>
        <v>2.5999999999999999E-2</v>
      </c>
      <c r="P31" s="401">
        <f>ROUND('2. Прогноз. Без корректировки'!P31,3)</f>
        <v>0.184</v>
      </c>
      <c r="Q31" s="402">
        <f>ROUND('2. Прогноз. Без корректировки'!Q31,3)</f>
        <v>0.23699999999999999</v>
      </c>
    </row>
    <row r="32" spans="1:17" outlineLevel="1" x14ac:dyDescent="0.25">
      <c r="A32" s="403" t="s">
        <v>46</v>
      </c>
      <c r="B32" s="336" t="s">
        <v>123</v>
      </c>
      <c r="C32" s="404"/>
      <c r="D32" s="405"/>
      <c r="E32" s="406"/>
      <c r="F32" s="407"/>
      <c r="G32" s="408">
        <f>ROUND('2. Прогноз. Без корректировки'!G32,3)</f>
        <v>1E-3</v>
      </c>
      <c r="H32" s="404"/>
      <c r="I32" s="405"/>
      <c r="J32" s="405"/>
      <c r="K32" s="407"/>
      <c r="L32" s="408">
        <f>ROUND('2. Прогноз. Без корректировки'!L32,3)</f>
        <v>1E-3</v>
      </c>
      <c r="M32" s="404"/>
      <c r="N32" s="405"/>
      <c r="O32" s="405"/>
      <c r="P32" s="407"/>
      <c r="Q32" s="408">
        <f>ROUND('2. Прогноз. Без корректировки'!Q32,3)</f>
        <v>1E-3</v>
      </c>
    </row>
    <row r="33" spans="1:17" x14ac:dyDescent="0.25">
      <c r="A33" s="378" t="s">
        <v>100</v>
      </c>
      <c r="B33" s="356" t="s">
        <v>118</v>
      </c>
      <c r="C33" s="283">
        <f t="shared" ref="C33:Q33" si="5">ROUND(C34+C35,3)</f>
        <v>0.6</v>
      </c>
      <c r="D33" s="284">
        <f t="shared" si="5"/>
        <v>2.2000000000000002</v>
      </c>
      <c r="E33" s="284">
        <f t="shared" si="5"/>
        <v>4.8</v>
      </c>
      <c r="F33" s="343">
        <f t="shared" si="5"/>
        <v>2</v>
      </c>
      <c r="G33" s="160">
        <f t="shared" si="5"/>
        <v>9.6</v>
      </c>
      <c r="H33" s="283">
        <f t="shared" si="5"/>
        <v>0.6</v>
      </c>
      <c r="I33" s="284">
        <f t="shared" si="5"/>
        <v>2.2000000000000002</v>
      </c>
      <c r="J33" s="284">
        <f t="shared" si="5"/>
        <v>4.8</v>
      </c>
      <c r="K33" s="343">
        <f t="shared" si="5"/>
        <v>2</v>
      </c>
      <c r="L33" s="160">
        <f t="shared" si="5"/>
        <v>9.6</v>
      </c>
      <c r="M33" s="283">
        <f t="shared" si="5"/>
        <v>0.6</v>
      </c>
      <c r="N33" s="284">
        <f t="shared" si="5"/>
        <v>2.2000000000000002</v>
      </c>
      <c r="O33" s="284">
        <f t="shared" si="5"/>
        <v>4.8</v>
      </c>
      <c r="P33" s="343">
        <f t="shared" si="5"/>
        <v>2</v>
      </c>
      <c r="Q33" s="160">
        <f t="shared" si="5"/>
        <v>9.6</v>
      </c>
    </row>
    <row r="34" spans="1:17" s="84" customFormat="1" outlineLevel="1" x14ac:dyDescent="0.25">
      <c r="A34" s="392" t="s">
        <v>47</v>
      </c>
      <c r="B34" s="336" t="s">
        <v>118</v>
      </c>
      <c r="C34" s="393">
        <f>ROUND('1. Статистика'!N48,3)</f>
        <v>1.2</v>
      </c>
      <c r="D34" s="394">
        <f>ROUND('1. Статистика'!O48,3)</f>
        <v>3.4</v>
      </c>
      <c r="E34" s="394">
        <f>ROUND('1. Статистика'!P48,3)</f>
        <v>3.2</v>
      </c>
      <c r="F34" s="395">
        <f>ROUND('1. Статистика'!Q48,3)</f>
        <v>2</v>
      </c>
      <c r="G34" s="396">
        <f>ROUND(SUM(C34:F34),3)</f>
        <v>9.8000000000000007</v>
      </c>
      <c r="H34" s="393">
        <f>ROUND(C33,3)</f>
        <v>0.6</v>
      </c>
      <c r="I34" s="394">
        <f>ROUND(D33,3)</f>
        <v>2.2000000000000002</v>
      </c>
      <c r="J34" s="394">
        <f>ROUND(E33,3)</f>
        <v>4.8</v>
      </c>
      <c r="K34" s="395">
        <f>ROUND(F33,3)</f>
        <v>2</v>
      </c>
      <c r="L34" s="396">
        <f>ROUND(SUM(H34:K34),3)</f>
        <v>9.6</v>
      </c>
      <c r="M34" s="393">
        <f>ROUND(H33,3)</f>
        <v>0.6</v>
      </c>
      <c r="N34" s="394">
        <f>ROUND(I33,3)</f>
        <v>2.2000000000000002</v>
      </c>
      <c r="O34" s="394">
        <f>ROUND(J33,3)</f>
        <v>4.8</v>
      </c>
      <c r="P34" s="395">
        <f>ROUND(K33,3)</f>
        <v>2</v>
      </c>
      <c r="Q34" s="396">
        <f>ROUND(SUM(M34:P34),3)</f>
        <v>9.6</v>
      </c>
    </row>
    <row r="35" spans="1:17" s="84" customFormat="1" outlineLevel="1" x14ac:dyDescent="0.25">
      <c r="A35" s="392" t="s">
        <v>48</v>
      </c>
      <c r="B35" s="336" t="s">
        <v>118</v>
      </c>
      <c r="C35" s="393">
        <f>ROUND('1. Статистика'!C89-C34,3)</f>
        <v>-0.6</v>
      </c>
      <c r="D35" s="394">
        <f>ROUND('1. Статистика'!D89-D34,3)</f>
        <v>-1.2</v>
      </c>
      <c r="E35" s="394">
        <f>ROUND('1. Статистика'!E89-E34,3)</f>
        <v>1.6</v>
      </c>
      <c r="F35" s="395">
        <f>ROUND('1. Статистика'!F89-F34,3)</f>
        <v>0</v>
      </c>
      <c r="G35" s="396">
        <f>ROUND(SUM(C35:F35),3)</f>
        <v>-0.2</v>
      </c>
      <c r="H35" s="393">
        <f>ROUND('1. Статистика'!G89-H34,3)</f>
        <v>0</v>
      </c>
      <c r="I35" s="394">
        <f>ROUND('1. Статистика'!H89-I34,3)</f>
        <v>0</v>
      </c>
      <c r="J35" s="394">
        <f>ROUND('1. Статистика'!I89-J34,3)</f>
        <v>0</v>
      </c>
      <c r="K35" s="395">
        <f>ROUND('1. Статистика'!J89-K34,3)</f>
        <v>0</v>
      </c>
      <c r="L35" s="396">
        <f>ROUND(SUM(H35:K35),3)</f>
        <v>0</v>
      </c>
      <c r="M35" s="393">
        <f>ROUND('1. Статистика'!K89-M34,3)</f>
        <v>0</v>
      </c>
      <c r="N35" s="394">
        <f>ROUND('1. Статистика'!L89-N34,3)</f>
        <v>0</v>
      </c>
      <c r="O35" s="394">
        <f>ROUND('1. Статистика'!M89-O34,3)</f>
        <v>0</v>
      </c>
      <c r="P35" s="395">
        <f>ROUND('1. Статистика'!N89-P34,3)</f>
        <v>0</v>
      </c>
      <c r="Q35" s="396">
        <f>ROUND(SUM(M35:P35),3)</f>
        <v>0</v>
      </c>
    </row>
    <row r="36" spans="1:17" x14ac:dyDescent="0.25">
      <c r="A36" s="378" t="s">
        <v>101</v>
      </c>
      <c r="B36" s="356" t="s">
        <v>118</v>
      </c>
      <c r="C36" s="379">
        <f t="shared" ref="C36:Q36" si="6">ROUND(C37+C38,3)</f>
        <v>49</v>
      </c>
      <c r="D36" s="380">
        <f t="shared" si="6"/>
        <v>63</v>
      </c>
      <c r="E36" s="380">
        <f t="shared" si="6"/>
        <v>60.95</v>
      </c>
      <c r="F36" s="391">
        <f t="shared" si="6"/>
        <v>32.200000000000003</v>
      </c>
      <c r="G36" s="381">
        <f t="shared" si="6"/>
        <v>205.15</v>
      </c>
      <c r="H36" s="379">
        <f t="shared" si="6"/>
        <v>49</v>
      </c>
      <c r="I36" s="380">
        <f t="shared" si="6"/>
        <v>63</v>
      </c>
      <c r="J36" s="380">
        <f t="shared" si="6"/>
        <v>60.95</v>
      </c>
      <c r="K36" s="391">
        <f t="shared" si="6"/>
        <v>32.200000000000003</v>
      </c>
      <c r="L36" s="381">
        <f t="shared" si="6"/>
        <v>205.15</v>
      </c>
      <c r="M36" s="379">
        <f t="shared" si="6"/>
        <v>49</v>
      </c>
      <c r="N36" s="380">
        <f t="shared" si="6"/>
        <v>63</v>
      </c>
      <c r="O36" s="380">
        <f t="shared" si="6"/>
        <v>60.95</v>
      </c>
      <c r="P36" s="391">
        <f t="shared" si="6"/>
        <v>32.200000000000003</v>
      </c>
      <c r="Q36" s="381">
        <f t="shared" si="6"/>
        <v>205.15</v>
      </c>
    </row>
    <row r="37" spans="1:17" s="84" customFormat="1" outlineLevel="1" x14ac:dyDescent="0.25">
      <c r="A37" s="392" t="s">
        <v>49</v>
      </c>
      <c r="B37" s="336" t="s">
        <v>118</v>
      </c>
      <c r="C37" s="393">
        <f>ROUND('1. Статистика'!N49,3)</f>
        <v>47.6</v>
      </c>
      <c r="D37" s="394">
        <f>ROUND('1. Статистика'!O49,3)</f>
        <v>60.5</v>
      </c>
      <c r="E37" s="394">
        <f>ROUND('1. Статистика'!P49,3)</f>
        <v>60.5</v>
      </c>
      <c r="F37" s="395">
        <f>ROUND('1. Статистика'!Q49,3)</f>
        <v>32.200000000000003</v>
      </c>
      <c r="G37" s="396">
        <f>ROUND(SUM(C37:F37),3)</f>
        <v>200.8</v>
      </c>
      <c r="H37" s="393">
        <f>ROUND(C36,3)</f>
        <v>49</v>
      </c>
      <c r="I37" s="394">
        <f>ROUND(D36,3)</f>
        <v>63</v>
      </c>
      <c r="J37" s="394">
        <f>ROUND(E36,3)</f>
        <v>60.95</v>
      </c>
      <c r="K37" s="395">
        <f>ROUND(F36,3)</f>
        <v>32.200000000000003</v>
      </c>
      <c r="L37" s="396">
        <f>ROUND(SUM(H37:K37),3)</f>
        <v>205.15</v>
      </c>
      <c r="M37" s="393">
        <f>ROUND(H36,3)</f>
        <v>49</v>
      </c>
      <c r="N37" s="394">
        <f>ROUND(I36,3)</f>
        <v>63</v>
      </c>
      <c r="O37" s="394">
        <f>ROUND(J36,3)</f>
        <v>60.95</v>
      </c>
      <c r="P37" s="395">
        <f>ROUND(K36,3)</f>
        <v>32.200000000000003</v>
      </c>
      <c r="Q37" s="396">
        <f>ROUND(SUM(M37:P37),3)</f>
        <v>205.15</v>
      </c>
    </row>
    <row r="38" spans="1:17" s="84" customFormat="1" ht="30" outlineLevel="1" x14ac:dyDescent="0.25">
      <c r="A38" s="398" t="s">
        <v>50</v>
      </c>
      <c r="B38" s="336" t="s">
        <v>118</v>
      </c>
      <c r="C38" s="393">
        <f>ROUND('2. Прогноз. Без корректировки'!C38,3)</f>
        <v>1.4</v>
      </c>
      <c r="D38" s="394">
        <f>ROUND('2. Прогноз. Без корректировки'!D38,3)</f>
        <v>2.5</v>
      </c>
      <c r="E38" s="394">
        <f>ROUND('2. Прогноз. Без корректировки'!E38,3)</f>
        <v>0.45</v>
      </c>
      <c r="F38" s="395">
        <f>ROUND('2. Прогноз. Без корректировки'!F38,3)</f>
        <v>0</v>
      </c>
      <c r="G38" s="396">
        <f>ROUND(SUM(C38:F38),3)</f>
        <v>4.3499999999999996</v>
      </c>
      <c r="H38" s="393">
        <f>ROUND('2. Прогноз. Без корректировки'!H38,3)</f>
        <v>0</v>
      </c>
      <c r="I38" s="394">
        <f>ROUND('2. Прогноз. Без корректировки'!I38,3)</f>
        <v>0</v>
      </c>
      <c r="J38" s="394">
        <f>ROUND('2. Прогноз. Без корректировки'!J38,3)</f>
        <v>0</v>
      </c>
      <c r="K38" s="395">
        <f>ROUND('2. Прогноз. Без корректировки'!K38,3)</f>
        <v>0</v>
      </c>
      <c r="L38" s="396">
        <f>ROUND(SUM(H38:K38),3)</f>
        <v>0</v>
      </c>
      <c r="M38" s="393">
        <f>ROUND('2. Прогноз. Без корректировки'!M38,3)</f>
        <v>0</v>
      </c>
      <c r="N38" s="394">
        <f>ROUND('2. Прогноз. Без корректировки'!N38,3)</f>
        <v>0</v>
      </c>
      <c r="O38" s="394">
        <f>ROUND('2. Прогноз. Без корректировки'!O38,3)</f>
        <v>0</v>
      </c>
      <c r="P38" s="395">
        <f>ROUND('2. Прогноз. Без корректировки'!P38,3)</f>
        <v>0</v>
      </c>
      <c r="Q38" s="396">
        <f>ROUND(SUM(M38:P38),3)</f>
        <v>0</v>
      </c>
    </row>
    <row r="39" spans="1:17" x14ac:dyDescent="0.25">
      <c r="A39" s="397" t="s">
        <v>42</v>
      </c>
      <c r="B39" s="346" t="s">
        <v>118</v>
      </c>
      <c r="C39" s="347">
        <f t="shared" ref="C39:Q39" si="7">ROUND(C23+C26+C33+C36+C31,3)</f>
        <v>55</v>
      </c>
      <c r="D39" s="348">
        <f t="shared" si="7"/>
        <v>72.134</v>
      </c>
      <c r="E39" s="348">
        <f t="shared" si="7"/>
        <v>69.384</v>
      </c>
      <c r="F39" s="348">
        <f t="shared" si="7"/>
        <v>38.238999999999997</v>
      </c>
      <c r="G39" s="350">
        <f t="shared" si="7"/>
        <v>234.75700000000001</v>
      </c>
      <c r="H39" s="348">
        <f t="shared" si="7"/>
        <v>55</v>
      </c>
      <c r="I39" s="348">
        <f t="shared" si="7"/>
        <v>72.126999999999995</v>
      </c>
      <c r="J39" s="348">
        <f t="shared" si="7"/>
        <v>69.376000000000005</v>
      </c>
      <c r="K39" s="348">
        <f t="shared" si="7"/>
        <v>38.183999999999997</v>
      </c>
      <c r="L39" s="350">
        <f t="shared" si="7"/>
        <v>234.68700000000001</v>
      </c>
      <c r="M39" s="348">
        <f t="shared" si="7"/>
        <v>55</v>
      </c>
      <c r="N39" s="348">
        <f t="shared" si="7"/>
        <v>72.126999999999995</v>
      </c>
      <c r="O39" s="348">
        <f t="shared" si="7"/>
        <v>69.376000000000005</v>
      </c>
      <c r="P39" s="348">
        <f t="shared" si="7"/>
        <v>38.183999999999997</v>
      </c>
      <c r="Q39" s="350">
        <f t="shared" si="7"/>
        <v>234.68700000000001</v>
      </c>
    </row>
    <row r="40" spans="1:17" ht="15.75" thickBot="1" x14ac:dyDescent="0.3">
      <c r="A40" s="409" t="s">
        <v>51</v>
      </c>
      <c r="B40" s="410" t="s">
        <v>118</v>
      </c>
      <c r="C40" s="369">
        <f t="shared" ref="C40:Q40" si="8">ROUND(C22-C39,3)</f>
        <v>1.6439999999999999</v>
      </c>
      <c r="D40" s="370">
        <f t="shared" si="8"/>
        <v>1.3049999999999999</v>
      </c>
      <c r="E40" s="370">
        <f t="shared" si="8"/>
        <v>2.46</v>
      </c>
      <c r="F40" s="371">
        <f t="shared" si="8"/>
        <v>1.7589999999999999</v>
      </c>
      <c r="G40" s="372">
        <f t="shared" si="8"/>
        <v>1.7589999999999999</v>
      </c>
      <c r="H40" s="369">
        <f t="shared" si="8"/>
        <v>1.585</v>
      </c>
      <c r="I40" s="370">
        <f t="shared" si="8"/>
        <v>1.3460000000000001</v>
      </c>
      <c r="J40" s="370">
        <f t="shared" si="8"/>
        <v>2.456</v>
      </c>
      <c r="K40" s="371">
        <f t="shared" si="8"/>
        <v>1.786</v>
      </c>
      <c r="L40" s="372">
        <f t="shared" si="8"/>
        <v>1.786</v>
      </c>
      <c r="M40" s="369">
        <f t="shared" si="8"/>
        <v>1.661</v>
      </c>
      <c r="N40" s="370">
        <f t="shared" si="8"/>
        <v>1.5369999999999999</v>
      </c>
      <c r="O40" s="370">
        <f t="shared" si="8"/>
        <v>2.613</v>
      </c>
      <c r="P40" s="371">
        <f t="shared" si="8"/>
        <v>1.9319999999999999</v>
      </c>
      <c r="Q40" s="372">
        <f t="shared" si="8"/>
        <v>1.9319999999999999</v>
      </c>
    </row>
    <row r="41" spans="1:17" x14ac:dyDescent="0.25">
      <c r="A41" s="9"/>
      <c r="B41" s="18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</row>
    <row r="42" spans="1:17" x14ac:dyDescent="0.25">
      <c r="A42" s="9"/>
      <c r="B42" s="18"/>
      <c r="C42" s="32"/>
      <c r="D42" s="32"/>
      <c r="E42" s="32"/>
      <c r="F42" s="32"/>
      <c r="G42" s="32"/>
      <c r="H42" s="32"/>
      <c r="I42" s="32"/>
      <c r="J42" s="32"/>
      <c r="K42" s="32"/>
      <c r="L42" s="280"/>
      <c r="M42" s="32"/>
      <c r="N42" s="32"/>
      <c r="O42" s="32"/>
      <c r="P42" s="32"/>
      <c r="Q42" s="32"/>
    </row>
    <row r="43" spans="1:17" s="243" customFormat="1" x14ac:dyDescent="0.25">
      <c r="A43" s="240" t="s">
        <v>78</v>
      </c>
      <c r="B43" s="241"/>
      <c r="C43" s="281">
        <f t="shared" ref="C43:Q43" si="9">ROUND(C22-C39-C40,3)</f>
        <v>0</v>
      </c>
      <c r="D43" s="281">
        <f t="shared" si="9"/>
        <v>0</v>
      </c>
      <c r="E43" s="281">
        <f t="shared" si="9"/>
        <v>0</v>
      </c>
      <c r="F43" s="281">
        <f t="shared" si="9"/>
        <v>0</v>
      </c>
      <c r="G43" s="282">
        <f t="shared" si="9"/>
        <v>0</v>
      </c>
      <c r="H43" s="281">
        <f t="shared" si="9"/>
        <v>0</v>
      </c>
      <c r="I43" s="281">
        <f t="shared" si="9"/>
        <v>0</v>
      </c>
      <c r="J43" s="281">
        <f t="shared" si="9"/>
        <v>0</v>
      </c>
      <c r="K43" s="281">
        <f t="shared" si="9"/>
        <v>0</v>
      </c>
      <c r="L43" s="282">
        <f t="shared" si="9"/>
        <v>0</v>
      </c>
      <c r="M43" s="281">
        <f t="shared" si="9"/>
        <v>0</v>
      </c>
      <c r="N43" s="281">
        <f t="shared" si="9"/>
        <v>0</v>
      </c>
      <c r="O43" s="281">
        <f t="shared" si="9"/>
        <v>0</v>
      </c>
      <c r="P43" s="281">
        <f t="shared" si="9"/>
        <v>0</v>
      </c>
      <c r="Q43" s="282">
        <f t="shared" si="9"/>
        <v>0</v>
      </c>
    </row>
    <row r="44" spans="1:17" s="243" customFormat="1" x14ac:dyDescent="0.25">
      <c r="A44" s="244"/>
      <c r="B44" s="241"/>
      <c r="C44" s="242"/>
      <c r="D44" s="242"/>
      <c r="E44" s="242"/>
      <c r="F44" s="242"/>
      <c r="G44" s="279"/>
      <c r="H44" s="242"/>
      <c r="I44" s="242"/>
      <c r="J44" s="242"/>
      <c r="K44" s="242"/>
      <c r="L44" s="279"/>
      <c r="M44" s="242"/>
      <c r="N44" s="242"/>
      <c r="O44" s="242"/>
      <c r="P44" s="242"/>
      <c r="Q44" s="279"/>
    </row>
    <row r="45" spans="1:17" s="243" customFormat="1" x14ac:dyDescent="0.25">
      <c r="A45" s="245"/>
      <c r="B45" s="241"/>
      <c r="C45" s="242"/>
      <c r="D45" s="242"/>
      <c r="E45" s="242"/>
      <c r="F45" s="242"/>
      <c r="G45" s="279"/>
      <c r="H45" s="242"/>
      <c r="I45" s="242"/>
      <c r="J45" s="242"/>
      <c r="K45" s="242"/>
      <c r="L45" s="279"/>
      <c r="M45" s="242"/>
      <c r="N45" s="242"/>
      <c r="O45" s="242"/>
      <c r="P45" s="242"/>
      <c r="Q45" s="279"/>
    </row>
    <row r="46" spans="1:17" s="243" customFormat="1" x14ac:dyDescent="0.25">
      <c r="A46" s="240" t="s">
        <v>52</v>
      </c>
      <c r="B46" s="241"/>
      <c r="C46" s="281">
        <f t="shared" ref="C46:Q46" si="10">ROUND(C9+C10+C19-C23-C26-C31-C33-C36-C40,3)</f>
        <v>0</v>
      </c>
      <c r="D46" s="281">
        <f t="shared" si="10"/>
        <v>0</v>
      </c>
      <c r="E46" s="281">
        <f t="shared" si="10"/>
        <v>0</v>
      </c>
      <c r="F46" s="281">
        <f t="shared" si="10"/>
        <v>0</v>
      </c>
      <c r="G46" s="282">
        <f t="shared" si="10"/>
        <v>0</v>
      </c>
      <c r="H46" s="281">
        <f t="shared" si="10"/>
        <v>0</v>
      </c>
      <c r="I46" s="281">
        <f t="shared" si="10"/>
        <v>0</v>
      </c>
      <c r="J46" s="281">
        <f t="shared" si="10"/>
        <v>0</v>
      </c>
      <c r="K46" s="281">
        <f t="shared" si="10"/>
        <v>0</v>
      </c>
      <c r="L46" s="282">
        <f t="shared" si="10"/>
        <v>0</v>
      </c>
      <c r="M46" s="281">
        <f t="shared" si="10"/>
        <v>0</v>
      </c>
      <c r="N46" s="281">
        <f t="shared" si="10"/>
        <v>0</v>
      </c>
      <c r="O46" s="281">
        <f t="shared" si="10"/>
        <v>0</v>
      </c>
      <c r="P46" s="281">
        <f t="shared" si="10"/>
        <v>0</v>
      </c>
      <c r="Q46" s="282">
        <f t="shared" si="10"/>
        <v>0</v>
      </c>
    </row>
  </sheetData>
  <sheetProtection algorithmName="SHA-512" hashValue="HpVk3sNUDcMes3U3FFiRHYFM1Ohu+zA+2ctD1HP0WWkd9Oaw9t9fuhs2DcN+QHEkoyGl6emFJUXd+Dmc80LpjA==" saltValue="Wuh0vnmqi0gSE7DrR0K4Sw==" spinCount="100000" sheet="1" objects="1" scenarios="1"/>
  <mergeCells count="8">
    <mergeCell ref="M7:P7"/>
    <mergeCell ref="Q7:Q8"/>
    <mergeCell ref="A7:A8"/>
    <mergeCell ref="B7:B8"/>
    <mergeCell ref="C7:F7"/>
    <mergeCell ref="G7:G8"/>
    <mergeCell ref="H7:K7"/>
    <mergeCell ref="L7:L8"/>
  </mergeCells>
  <phoneticPr fontId="18" type="noConversion"/>
  <dataValidations count="2">
    <dataValidation type="decimal" operator="greaterThan" allowBlank="1" showInputMessage="1" showErrorMessage="1" sqref="M34:P38 G33 Q31 G31 L31 H21:K38 M21:P32 C21:D38 F21:F38 E21:E31 E33:E38 G23 L23 Q23 G26 L26 Q26 L33:Q33 G36 L36 Q36">
      <formula1>-1000000000</formula1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L24:L25 G24:G25 G20:G22 L20:L22 Q20:Q22 Q24:Q25">
      <formula1>-1000000000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R20"/>
  <sheetViews>
    <sheetView zoomScale="85" zoomScaleNormal="85" workbookViewId="0">
      <selection activeCell="R1" sqref="R1"/>
    </sheetView>
  </sheetViews>
  <sheetFormatPr defaultRowHeight="15" x14ac:dyDescent="0.25"/>
  <cols>
    <col min="1" max="1" width="40" customWidth="1"/>
    <col min="2" max="5" width="13" customWidth="1"/>
    <col min="6" max="6" width="10" customWidth="1"/>
    <col min="7" max="10" width="13" customWidth="1"/>
    <col min="11" max="11" width="10" customWidth="1"/>
    <col min="12" max="15" width="13" customWidth="1"/>
    <col min="16" max="16" width="10" customWidth="1"/>
    <col min="18" max="18" width="10.28515625" bestFit="1" customWidth="1"/>
  </cols>
  <sheetData>
    <row r="1" spans="1:18" s="256" customFormat="1" ht="12.75" x14ac:dyDescent="0.25">
      <c r="B1" s="257" t="s">
        <v>63</v>
      </c>
      <c r="C1" s="257" t="s">
        <v>64</v>
      </c>
      <c r="D1" s="257" t="s">
        <v>65</v>
      </c>
      <c r="E1" s="257" t="s">
        <v>66</v>
      </c>
      <c r="F1" s="257" t="s">
        <v>67</v>
      </c>
      <c r="G1" s="257" t="s">
        <v>68</v>
      </c>
      <c r="H1" s="257" t="s">
        <v>69</v>
      </c>
      <c r="I1" s="257" t="s">
        <v>70</v>
      </c>
      <c r="J1" s="257" t="s">
        <v>71</v>
      </c>
      <c r="K1" s="257" t="s">
        <v>72</v>
      </c>
      <c r="L1" s="257" t="s">
        <v>73</v>
      </c>
      <c r="M1" s="257" t="s">
        <v>74</v>
      </c>
      <c r="N1" s="257" t="s">
        <v>75</v>
      </c>
      <c r="O1" s="257" t="s">
        <v>76</v>
      </c>
      <c r="P1" s="257" t="s">
        <v>77</v>
      </c>
      <c r="Q1" s="258" t="s">
        <v>151</v>
      </c>
      <c r="R1" s="429">
        <v>43739</v>
      </c>
    </row>
    <row r="2" spans="1:18" ht="16.5" thickBot="1" x14ac:dyDescent="0.3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R2">
        <f>IF(Date="","XXX",Date)</f>
        <v>43739</v>
      </c>
    </row>
    <row r="3" spans="1:18" x14ac:dyDescent="0.25">
      <c r="A3" s="486" t="s">
        <v>15</v>
      </c>
      <c r="B3" s="477" t="str">
        <f>YEAR(Test_date)&amp;" год"</f>
        <v>2019 год</v>
      </c>
      <c r="C3" s="478"/>
      <c r="D3" s="478"/>
      <c r="E3" s="479"/>
      <c r="F3" s="480" t="str">
        <f>B3</f>
        <v>2019 год</v>
      </c>
      <c r="G3" s="477" t="str">
        <f>(LEFT(B3,4)+1)&amp;" год"</f>
        <v>2020 год</v>
      </c>
      <c r="H3" s="478"/>
      <c r="I3" s="478"/>
      <c r="J3" s="479"/>
      <c r="K3" s="480" t="str">
        <f>G3</f>
        <v>2020 год</v>
      </c>
      <c r="L3" s="477" t="str">
        <f>(LEFT(G3,4)+1)&amp;" год"</f>
        <v>2021 год</v>
      </c>
      <c r="M3" s="478"/>
      <c r="N3" s="478"/>
      <c r="O3" s="479"/>
      <c r="P3" s="480" t="str">
        <f>L3</f>
        <v>2021 год</v>
      </c>
    </row>
    <row r="4" spans="1:18" ht="15.75" thickBot="1" x14ac:dyDescent="0.3">
      <c r="A4" s="487"/>
      <c r="B4" s="426">
        <v>1</v>
      </c>
      <c r="C4" s="427">
        <v>2</v>
      </c>
      <c r="D4" s="427">
        <v>3</v>
      </c>
      <c r="E4" s="428">
        <v>4</v>
      </c>
      <c r="F4" s="481"/>
      <c r="G4" s="426">
        <v>1</v>
      </c>
      <c r="H4" s="427">
        <v>2</v>
      </c>
      <c r="I4" s="427">
        <v>3</v>
      </c>
      <c r="J4" s="428">
        <v>4</v>
      </c>
      <c r="K4" s="481"/>
      <c r="L4" s="426">
        <v>1</v>
      </c>
      <c r="M4" s="427">
        <v>2</v>
      </c>
      <c r="N4" s="427">
        <v>3</v>
      </c>
      <c r="O4" s="428">
        <v>4</v>
      </c>
      <c r="P4" s="481"/>
    </row>
    <row r="5" spans="1:18" x14ac:dyDescent="0.25">
      <c r="A5" s="270" t="s">
        <v>4</v>
      </c>
      <c r="B5" s="266">
        <f ca="1">ROUND(INDIRECT("'3.Прогноз.С корректировкой таб8'!"&amp;B$1&amp;$Q5),3)</f>
        <v>1.8540000000000001</v>
      </c>
      <c r="C5" s="176"/>
      <c r="D5" s="176"/>
      <c r="E5" s="177"/>
      <c r="F5" s="178"/>
      <c r="G5" s="179"/>
      <c r="H5" s="176"/>
      <c r="I5" s="176"/>
      <c r="J5" s="177"/>
      <c r="K5" s="178"/>
      <c r="L5" s="179"/>
      <c r="M5" s="176"/>
      <c r="N5" s="176"/>
      <c r="O5" s="177"/>
      <c r="P5" s="178"/>
      <c r="Q5" s="248">
        <v>9</v>
      </c>
      <c r="R5" s="247"/>
    </row>
    <row r="6" spans="1:18" ht="16.5" customHeight="1" x14ac:dyDescent="0.25">
      <c r="A6" s="270" t="s">
        <v>7</v>
      </c>
      <c r="B6" s="266">
        <f ca="1">ROUND(INDIRECT("'3.Прогноз.С корректировкой таб8'!"&amp;B$1&amp;$Q6),3)</f>
        <v>36.49</v>
      </c>
      <c r="C6" s="180">
        <f t="shared" ref="C6:E7" ca="1" si="0">ROUND(INDIRECT("'3.Прогноз.С корректировкой таб8'!"&amp;C$1&amp;$Q6),3)</f>
        <v>57.395000000000003</v>
      </c>
      <c r="D6" s="180">
        <f t="shared" ca="1" si="0"/>
        <v>48.539000000000001</v>
      </c>
      <c r="E6" s="180">
        <f t="shared" ca="1" si="0"/>
        <v>34.637999999999998</v>
      </c>
      <c r="F6" s="59"/>
      <c r="G6" s="180">
        <f ca="1">ROUND(INDIRECT("'3.Прогноз.С корректировкой таб8'!"&amp;G$1&amp;$Q6),3)</f>
        <v>36.676000000000002</v>
      </c>
      <c r="H6" s="180">
        <f t="shared" ref="H6:J7" ca="1" si="1">ROUND(INDIRECT("'3.Прогноз.С корректировкой таб8'!"&amp;H$1&amp;$Q6),3)</f>
        <v>57.688000000000002</v>
      </c>
      <c r="I6" s="180">
        <f t="shared" ca="1" si="1"/>
        <v>48.786000000000001</v>
      </c>
      <c r="J6" s="180">
        <f t="shared" ca="1" si="1"/>
        <v>34.814</v>
      </c>
      <c r="K6" s="59"/>
      <c r="L6" s="180">
        <f ca="1">ROUND(INDIRECT("'3.Прогноз.С корректировкой таб8'!"&amp;L$1&amp;$Q6),3)</f>
        <v>36.875</v>
      </c>
      <c r="M6" s="180">
        <f t="shared" ref="M6:O7" ca="1" si="2">ROUND(INDIRECT("'3.Прогноз.С корректировкой таб8'!"&amp;M$1&amp;$Q6),3)</f>
        <v>58.003</v>
      </c>
      <c r="N6" s="180">
        <f t="shared" ca="1" si="2"/>
        <v>49.052</v>
      </c>
      <c r="O6" s="180">
        <f t="shared" ca="1" si="2"/>
        <v>35.003</v>
      </c>
      <c r="P6" s="59"/>
      <c r="Q6" s="249">
        <v>10</v>
      </c>
      <c r="R6" s="247"/>
    </row>
    <row r="7" spans="1:18" ht="17.649999999999999" customHeight="1" x14ac:dyDescent="0.25">
      <c r="A7" s="270" t="s">
        <v>62</v>
      </c>
      <c r="B7" s="266">
        <f ca="1">ROUND(INDIRECT("'3.Прогноз.С корректировкой таб8'!"&amp;B$1&amp;$Q7),3)</f>
        <v>18.3</v>
      </c>
      <c r="C7" s="180">
        <f t="shared" ca="1" si="0"/>
        <v>14.4</v>
      </c>
      <c r="D7" s="180">
        <f t="shared" ca="1" si="0"/>
        <v>22</v>
      </c>
      <c r="E7" s="180">
        <f t="shared" ca="1" si="0"/>
        <v>2.9</v>
      </c>
      <c r="F7" s="61"/>
      <c r="G7" s="180">
        <f ca="1">ROUND(INDIRECT("'3.Прогноз.С корректировкой таб8'!"&amp;G$1&amp;$Q7),3)</f>
        <v>18.149999999999999</v>
      </c>
      <c r="H7" s="180">
        <f t="shared" ca="1" si="1"/>
        <v>14.2</v>
      </c>
      <c r="I7" s="180">
        <f t="shared" ca="1" si="1"/>
        <v>21.7</v>
      </c>
      <c r="J7" s="180">
        <f t="shared" ca="1" si="1"/>
        <v>2.7</v>
      </c>
      <c r="K7" s="61"/>
      <c r="L7" s="180">
        <f ca="1">ROUND(INDIRECT("'3.Прогноз.С корректировкой таб8'!"&amp;L$1&amp;$Q7),3)</f>
        <v>18</v>
      </c>
      <c r="M7" s="180">
        <f t="shared" ca="1" si="2"/>
        <v>14</v>
      </c>
      <c r="N7" s="180">
        <f t="shared" ca="1" si="2"/>
        <v>21.4</v>
      </c>
      <c r="O7" s="180">
        <f t="shared" ca="1" si="2"/>
        <v>2.5</v>
      </c>
      <c r="P7" s="61"/>
      <c r="Q7" s="250">
        <v>19</v>
      </c>
      <c r="R7" s="247"/>
    </row>
    <row r="8" spans="1:18" x14ac:dyDescent="0.25">
      <c r="A8" s="270" t="s">
        <v>61</v>
      </c>
      <c r="B8" s="267"/>
      <c r="C8" s="30"/>
      <c r="D8" s="30"/>
      <c r="E8" s="58"/>
      <c r="F8" s="59"/>
      <c r="G8" s="30"/>
      <c r="H8" s="30"/>
      <c r="I8" s="30"/>
      <c r="J8" s="58"/>
      <c r="K8" s="59"/>
      <c r="L8" s="30"/>
      <c r="M8" s="30"/>
      <c r="N8" s="30"/>
      <c r="O8" s="58"/>
      <c r="P8" s="59"/>
      <c r="Q8" s="248">
        <v>22</v>
      </c>
      <c r="R8" s="247"/>
    </row>
    <row r="9" spans="1:18" x14ac:dyDescent="0.25">
      <c r="A9" s="271" t="s">
        <v>102</v>
      </c>
      <c r="B9" s="266">
        <f ca="1">ROUND(INDIRECT("'3.Прогноз.С корректировкой таб8'!"&amp;B$1&amp;$Q9),3)</f>
        <v>5.4</v>
      </c>
      <c r="C9" s="180">
        <f ca="1">ROUND(INDIRECT("'3.Прогноз.С корректировкой таб8'!"&amp;C$1&amp;$Q9),3)</f>
        <v>6.9</v>
      </c>
      <c r="D9" s="180">
        <f ca="1">ROUND(INDIRECT("'3.Прогноз.С корректировкой таб8'!"&amp;D$1&amp;$Q9),3)</f>
        <v>3.6</v>
      </c>
      <c r="E9" s="180">
        <f ca="1">ROUND(INDIRECT("'3.Прогноз.С корректировкой таб8'!"&amp;E$1&amp;$Q9),3)</f>
        <v>3.8</v>
      </c>
      <c r="F9" s="59"/>
      <c r="G9" s="180">
        <f ca="1">ROUND(INDIRECT("'3.Прогноз.С корректировкой таб8'!"&amp;G$1&amp;$Q9),3)</f>
        <v>5.4</v>
      </c>
      <c r="H9" s="180">
        <f ca="1">ROUND(INDIRECT("'3.Прогноз.С корректировкой таб8'!"&amp;H$1&amp;$Q9),3)</f>
        <v>6.9</v>
      </c>
      <c r="I9" s="180">
        <f ca="1">ROUND(INDIRECT("'3.Прогноз.С корректировкой таб8'!"&amp;I$1&amp;$Q9),3)</f>
        <v>3.6</v>
      </c>
      <c r="J9" s="180">
        <f ca="1">ROUND(INDIRECT("'3.Прогноз.С корректировкой таб8'!"&amp;J$1&amp;$Q9),3)</f>
        <v>3.8</v>
      </c>
      <c r="K9" s="59"/>
      <c r="L9" s="180">
        <f ca="1">ROUND(INDIRECT("'3.Прогноз.С корректировкой таб8'!"&amp;L$1&amp;$Q9),3)</f>
        <v>5.4</v>
      </c>
      <c r="M9" s="180">
        <f ca="1">ROUND(INDIRECT("'3.Прогноз.С корректировкой таб8'!"&amp;M$1&amp;$Q9),3)</f>
        <v>6.9</v>
      </c>
      <c r="N9" s="180">
        <f ca="1">ROUND(INDIRECT("'3.Прогноз.С корректировкой таб8'!"&amp;N$1&amp;$Q9),3)</f>
        <v>3.6</v>
      </c>
      <c r="O9" s="180">
        <f ca="1">ROUND(INDIRECT("'3.Прогноз.С корректировкой таб8'!"&amp;O$1&amp;$Q9),3)</f>
        <v>3.8</v>
      </c>
      <c r="P9" s="59"/>
      <c r="Q9" s="248">
        <v>23</v>
      </c>
      <c r="R9" s="247"/>
    </row>
    <row r="10" spans="1:18" x14ac:dyDescent="0.25">
      <c r="A10" s="270" t="s">
        <v>82</v>
      </c>
      <c r="B10" s="266">
        <f ca="1">ROUND(INDIRECT("'3.Прогноз.С корректировкой таб8'!"&amp;B$1&amp;$Q10),3)</f>
        <v>0</v>
      </c>
      <c r="C10" s="180">
        <f t="shared" ref="B10:E13" ca="1" si="3">ROUND(INDIRECT("'3.Прогноз.С корректировкой таб8'!"&amp;C$1&amp;$Q10),3)</f>
        <v>0</v>
      </c>
      <c r="D10" s="180">
        <f t="shared" ca="1" si="3"/>
        <v>0</v>
      </c>
      <c r="E10" s="180">
        <f t="shared" ca="1" si="3"/>
        <v>0</v>
      </c>
      <c r="F10" s="62"/>
      <c r="G10" s="180">
        <f ca="1">ROUND(INDIRECT("'3.Прогноз.С корректировкой таб8'!"&amp;G$1&amp;$Q10),3)</f>
        <v>0</v>
      </c>
      <c r="H10" s="180">
        <f t="shared" ref="G10:J13" ca="1" si="4">ROUND(INDIRECT("'3.Прогноз.С корректировкой таб8'!"&amp;H$1&amp;$Q10),3)</f>
        <v>0</v>
      </c>
      <c r="I10" s="180">
        <f t="shared" ca="1" si="4"/>
        <v>0</v>
      </c>
      <c r="J10" s="180">
        <f t="shared" ca="1" si="4"/>
        <v>0</v>
      </c>
      <c r="K10" s="62"/>
      <c r="L10" s="180">
        <f t="shared" ref="L10:O13" ca="1" si="5">ROUND(INDIRECT("'3.Прогноз.С корректировкой таб8'!"&amp;L$1&amp;$Q10),3)</f>
        <v>0</v>
      </c>
      <c r="M10" s="180">
        <f t="shared" ca="1" si="5"/>
        <v>0</v>
      </c>
      <c r="N10" s="180">
        <f t="shared" ca="1" si="5"/>
        <v>0</v>
      </c>
      <c r="O10" s="180">
        <f t="shared" ca="1" si="5"/>
        <v>0</v>
      </c>
      <c r="P10" s="62"/>
      <c r="Q10" s="249">
        <v>26</v>
      </c>
      <c r="R10" s="247"/>
    </row>
    <row r="11" spans="1:18" x14ac:dyDescent="0.25">
      <c r="A11" s="270" t="s">
        <v>5</v>
      </c>
      <c r="B11" s="266">
        <f t="shared" ca="1" si="3"/>
        <v>0</v>
      </c>
      <c r="C11" s="180">
        <f t="shared" ca="1" si="3"/>
        <v>3.4000000000000002E-2</v>
      </c>
      <c r="D11" s="180">
        <f t="shared" ca="1" si="3"/>
        <v>3.4000000000000002E-2</v>
      </c>
      <c r="E11" s="180">
        <f t="shared" ca="1" si="3"/>
        <v>0.23899999999999999</v>
      </c>
      <c r="F11" s="60"/>
      <c r="G11" s="180">
        <f t="shared" ca="1" si="4"/>
        <v>0</v>
      </c>
      <c r="H11" s="180">
        <f t="shared" ca="1" si="4"/>
        <v>2.7E-2</v>
      </c>
      <c r="I11" s="180">
        <f t="shared" ca="1" si="4"/>
        <v>2.5999999999999999E-2</v>
      </c>
      <c r="J11" s="180">
        <f t="shared" ca="1" si="4"/>
        <v>0.184</v>
      </c>
      <c r="K11" s="60"/>
      <c r="L11" s="180">
        <f t="shared" ca="1" si="5"/>
        <v>0</v>
      </c>
      <c r="M11" s="180">
        <f t="shared" ca="1" si="5"/>
        <v>2.7E-2</v>
      </c>
      <c r="N11" s="180">
        <f t="shared" ca="1" si="5"/>
        <v>2.5999999999999999E-2</v>
      </c>
      <c r="O11" s="180">
        <f t="shared" ca="1" si="5"/>
        <v>0.184</v>
      </c>
      <c r="P11" s="60"/>
      <c r="Q11" s="249">
        <v>31</v>
      </c>
      <c r="R11" s="247"/>
    </row>
    <row r="12" spans="1:18" x14ac:dyDescent="0.25">
      <c r="A12" s="270" t="s">
        <v>60</v>
      </c>
      <c r="B12" s="266">
        <f t="shared" ca="1" si="3"/>
        <v>0.6</v>
      </c>
      <c r="C12" s="180">
        <f t="shared" ca="1" si="3"/>
        <v>2.2000000000000002</v>
      </c>
      <c r="D12" s="180">
        <f t="shared" ca="1" si="3"/>
        <v>4.8</v>
      </c>
      <c r="E12" s="180">
        <f t="shared" ca="1" si="3"/>
        <v>2</v>
      </c>
      <c r="F12" s="59"/>
      <c r="G12" s="180">
        <f t="shared" ca="1" si="4"/>
        <v>0.6</v>
      </c>
      <c r="H12" s="180">
        <f t="shared" ca="1" si="4"/>
        <v>2.2000000000000002</v>
      </c>
      <c r="I12" s="180">
        <f t="shared" ca="1" si="4"/>
        <v>4.8</v>
      </c>
      <c r="J12" s="180">
        <f t="shared" ca="1" si="4"/>
        <v>2</v>
      </c>
      <c r="K12" s="59"/>
      <c r="L12" s="180">
        <f t="shared" ca="1" si="5"/>
        <v>0.6</v>
      </c>
      <c r="M12" s="180">
        <f t="shared" ca="1" si="5"/>
        <v>2.2000000000000002</v>
      </c>
      <c r="N12" s="180">
        <f t="shared" ca="1" si="5"/>
        <v>4.8</v>
      </c>
      <c r="O12" s="180">
        <f t="shared" ca="1" si="5"/>
        <v>2</v>
      </c>
      <c r="P12" s="59"/>
      <c r="Q12" s="249">
        <v>33</v>
      </c>
      <c r="R12" s="247"/>
    </row>
    <row r="13" spans="1:18" x14ac:dyDescent="0.25">
      <c r="A13" s="270" t="s">
        <v>6</v>
      </c>
      <c r="B13" s="266">
        <f t="shared" ca="1" si="3"/>
        <v>49</v>
      </c>
      <c r="C13" s="180">
        <f t="shared" ca="1" si="3"/>
        <v>63</v>
      </c>
      <c r="D13" s="180">
        <f t="shared" ca="1" si="3"/>
        <v>60.95</v>
      </c>
      <c r="E13" s="180">
        <f t="shared" ca="1" si="3"/>
        <v>32.200000000000003</v>
      </c>
      <c r="F13" s="59"/>
      <c r="G13" s="180">
        <f t="shared" ca="1" si="4"/>
        <v>49</v>
      </c>
      <c r="H13" s="180">
        <f t="shared" ca="1" si="4"/>
        <v>63</v>
      </c>
      <c r="I13" s="180">
        <f t="shared" ca="1" si="4"/>
        <v>60.95</v>
      </c>
      <c r="J13" s="180">
        <f t="shared" ca="1" si="4"/>
        <v>32.200000000000003</v>
      </c>
      <c r="K13" s="59"/>
      <c r="L13" s="180">
        <f t="shared" ca="1" si="5"/>
        <v>49</v>
      </c>
      <c r="M13" s="180">
        <f t="shared" ca="1" si="5"/>
        <v>63</v>
      </c>
      <c r="N13" s="180">
        <f t="shared" ca="1" si="5"/>
        <v>60.95</v>
      </c>
      <c r="O13" s="180">
        <f t="shared" ca="1" si="5"/>
        <v>32.200000000000003</v>
      </c>
      <c r="P13" s="59"/>
      <c r="Q13" s="249">
        <v>36</v>
      </c>
      <c r="R13" s="247"/>
    </row>
    <row r="14" spans="1:18" x14ac:dyDescent="0.25">
      <c r="A14" s="270" t="s">
        <v>59</v>
      </c>
      <c r="B14" s="267"/>
      <c r="C14" s="30"/>
      <c r="D14" s="30"/>
      <c r="E14" s="58"/>
      <c r="F14" s="59"/>
      <c r="G14" s="30"/>
      <c r="H14" s="30"/>
      <c r="I14" s="30"/>
      <c r="J14" s="58"/>
      <c r="K14" s="59"/>
      <c r="L14" s="30"/>
      <c r="M14" s="30"/>
      <c r="N14" s="30"/>
      <c r="O14" s="58"/>
      <c r="P14" s="59"/>
      <c r="Q14" s="249">
        <v>39</v>
      </c>
      <c r="R14" s="247"/>
    </row>
    <row r="15" spans="1:18" ht="15.75" thickBot="1" x14ac:dyDescent="0.3">
      <c r="A15" s="272" t="s">
        <v>8</v>
      </c>
      <c r="B15" s="268">
        <f ca="1">B5+B6+B7-B9-B10-B11-B12-B13</f>
        <v>1.6440000000000055</v>
      </c>
      <c r="C15" s="251">
        <f ca="1">B15+C5+C6+C7-C9-C10-C11-C12-C13</f>
        <v>1.3049999999999926</v>
      </c>
      <c r="D15" s="251">
        <f ca="1">C15+D5+D6+D7-D9-D10-D11-D12-D13</f>
        <v>2.4599999999999937</v>
      </c>
      <c r="E15" s="251">
        <f ca="1">D15+E5+E6+E7-E9-E10-E11-E12-E13</f>
        <v>1.7589999999999932</v>
      </c>
      <c r="F15" s="252"/>
      <c r="G15" s="251">
        <f ca="1">E15+G6+G7-G9-G10-G11-G12-G13</f>
        <v>1.5849999999999937</v>
      </c>
      <c r="H15" s="251">
        <f ca="1">G15+H6+H7-H9-H10-H11-H12-H13</f>
        <v>1.3459999999999894</v>
      </c>
      <c r="I15" s="251">
        <f ca="1">H15+I6+I7-I9-I10-I11-I12-I13</f>
        <v>2.4560000000000031</v>
      </c>
      <c r="J15" s="251">
        <f ca="1">I15+J6+J7-J9-J10-J11-J12-J13</f>
        <v>1.7860000000000085</v>
      </c>
      <c r="K15" s="252"/>
      <c r="L15" s="251">
        <f ca="1">J15+L6+L7-L9-L10-L11-L12-L13</f>
        <v>1.6610000000000085</v>
      </c>
      <c r="M15" s="251">
        <f ca="1">L15+M6+M7-M9-M10-M11-M12-M13</f>
        <v>1.5370000000000061</v>
      </c>
      <c r="N15" s="251">
        <f ca="1">M15+N6+N7-N9-N10-N11-N12-N13</f>
        <v>2.6130000000000138</v>
      </c>
      <c r="O15" s="251">
        <f ca="1">N15+O6+O7-O9-O10-O11-O12-O13</f>
        <v>1.9320000000000164</v>
      </c>
      <c r="P15" s="252"/>
      <c r="Q15" s="249">
        <v>49</v>
      </c>
      <c r="R15" s="247"/>
    </row>
    <row r="16" spans="1:18" ht="15.75" thickBot="1" x14ac:dyDescent="0.3">
      <c r="A16" s="273" t="s">
        <v>58</v>
      </c>
      <c r="B16" s="269">
        <v>0</v>
      </c>
      <c r="C16" s="253">
        <v>0</v>
      </c>
      <c r="D16" s="253">
        <v>0</v>
      </c>
      <c r="E16" s="254">
        <v>0</v>
      </c>
      <c r="F16" s="255"/>
      <c r="G16" s="253">
        <v>0</v>
      </c>
      <c r="H16" s="253">
        <v>0</v>
      </c>
      <c r="I16" s="253">
        <v>0</v>
      </c>
      <c r="J16" s="254">
        <v>0</v>
      </c>
      <c r="K16" s="255"/>
      <c r="L16" s="253">
        <v>0</v>
      </c>
      <c r="M16" s="253">
        <v>0</v>
      </c>
      <c r="N16" s="253">
        <v>0</v>
      </c>
      <c r="O16" s="254">
        <v>0</v>
      </c>
      <c r="P16" s="255">
        <v>0</v>
      </c>
      <c r="R16" s="56"/>
    </row>
    <row r="20" spans="3:3" x14ac:dyDescent="0.25">
      <c r="C20" s="15"/>
    </row>
  </sheetData>
  <sheetProtection algorithmName="SHA-512" hashValue="6fAHjM3YXp8crFDlm3xIMh+LSz7afSzHycWHeF3QL1H2+YPq5HViZd88ckX/E5vP0fFQOUb9xl+ybNknukjCtQ==" saltValue="fldnzqTKWJCccIpQqF+7Ug==" spinCount="100000" sheet="1" objects="1" scenarios="1"/>
  <mergeCells count="7">
    <mergeCell ref="P3:P4"/>
    <mergeCell ref="A3:A4"/>
    <mergeCell ref="B3:E3"/>
    <mergeCell ref="F3:F4"/>
    <mergeCell ref="G3:J3"/>
    <mergeCell ref="K3:K4"/>
    <mergeCell ref="L3:O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17"/>
  <sheetViews>
    <sheetView zoomScaleNormal="100" workbookViewId="0">
      <selection activeCell="E12" sqref="E12"/>
    </sheetView>
  </sheetViews>
  <sheetFormatPr defaultRowHeight="15" x14ac:dyDescent="0.25"/>
  <cols>
    <col min="1" max="1" width="49.7109375" customWidth="1"/>
    <col min="2" max="4" width="14.28515625" customWidth="1"/>
    <col min="5" max="5" width="57.28515625" customWidth="1"/>
    <col min="6" max="6" width="25.85546875" customWidth="1"/>
  </cols>
  <sheetData>
    <row r="1" spans="1:6" x14ac:dyDescent="0.25">
      <c r="A1" s="430"/>
      <c r="B1" s="430"/>
      <c r="C1" s="430"/>
      <c r="D1" s="430"/>
      <c r="E1" s="430"/>
    </row>
    <row r="2" spans="1:6" ht="20.25" x14ac:dyDescent="0.3">
      <c r="A2" s="488" t="s">
        <v>144</v>
      </c>
      <c r="B2" s="488"/>
      <c r="C2" s="488"/>
      <c r="D2" s="488"/>
      <c r="E2" s="488"/>
    </row>
    <row r="3" spans="1:6" ht="15.75" thickBot="1" x14ac:dyDescent="0.3">
      <c r="A3" s="431"/>
      <c r="B3" s="431"/>
      <c r="C3" s="431"/>
      <c r="D3" s="431"/>
      <c r="E3" s="431"/>
    </row>
    <row r="4" spans="1:6" ht="32.65" customHeight="1" thickBot="1" x14ac:dyDescent="0.3">
      <c r="A4" s="432" t="s">
        <v>145</v>
      </c>
      <c r="B4" s="432" t="str">
        <f>(YEAR(Test_date)-1)&amp;" год"</f>
        <v>2018 год</v>
      </c>
      <c r="C4" s="432" t="str">
        <f>(LEFT(B4,4)+1)&amp;" год"</f>
        <v>2019 год</v>
      </c>
      <c r="D4" s="432" t="s">
        <v>146</v>
      </c>
      <c r="E4" s="433" t="s">
        <v>147</v>
      </c>
    </row>
    <row r="5" spans="1:6" ht="22.9" customHeight="1" x14ac:dyDescent="0.3">
      <c r="A5" s="448" t="s">
        <v>37</v>
      </c>
      <c r="B5" s="449">
        <f>SUM(B6,B7,B10)</f>
        <v>224.35400000000004</v>
      </c>
      <c r="C5" s="449">
        <f>SUM(C6,C7,C10)</f>
        <v>236.51600000000002</v>
      </c>
      <c r="D5" s="449">
        <f>IFERROR(C5/B5*100-100,"")</f>
        <v>5.4208973318951195</v>
      </c>
      <c r="E5" s="450"/>
      <c r="F5" s="434" t="str">
        <f t="shared" ref="F5:F17" si="0">IF(OR($D5&gt;10,$D5&lt;-10),IF($D5="","",IF($E5="","Внесите комментарий!","")),"")</f>
        <v/>
      </c>
    </row>
    <row r="6" spans="1:6" ht="22.9" customHeight="1" x14ac:dyDescent="0.3">
      <c r="A6" s="446" t="s">
        <v>38</v>
      </c>
      <c r="B6" s="440">
        <f>'1. Статистика'!M40</f>
        <v>1.8</v>
      </c>
      <c r="C6" s="440">
        <f>'3.Прогноз.С корректировкой таб8'!G9</f>
        <v>1.8540000000000001</v>
      </c>
      <c r="D6" s="440">
        <f t="shared" ref="D6:D17" si="1">IFERROR(C6/B6*100-100,"")</f>
        <v>3</v>
      </c>
      <c r="E6" s="441"/>
      <c r="F6" s="434" t="str">
        <f t="shared" si="0"/>
        <v/>
      </c>
    </row>
    <row r="7" spans="1:6" ht="22.9" customHeight="1" x14ac:dyDescent="0.3">
      <c r="A7" s="446" t="s">
        <v>148</v>
      </c>
      <c r="B7" s="440">
        <f>SUM(B8:B9)</f>
        <v>176.25400000000002</v>
      </c>
      <c r="C7" s="440">
        <f>SUM(C8:C9)</f>
        <v>177.06200000000001</v>
      </c>
      <c r="D7" s="440">
        <f t="shared" si="1"/>
        <v>0.45842931224255778</v>
      </c>
      <c r="E7" s="451"/>
      <c r="F7" s="434" t="str">
        <f t="shared" si="0"/>
        <v/>
      </c>
    </row>
    <row r="8" spans="1:6" ht="22.9" customHeight="1" x14ac:dyDescent="0.3">
      <c r="A8" s="435" t="s">
        <v>149</v>
      </c>
      <c r="B8" s="436">
        <f>'1. Статистика'!M41</f>
        <v>175.59900000000002</v>
      </c>
      <c r="C8" s="436">
        <f>'3.Прогноз.С корректировкой таб8'!G11</f>
        <v>176.40700000000001</v>
      </c>
      <c r="D8" s="436">
        <f t="shared" si="1"/>
        <v>0.46013929464290015</v>
      </c>
      <c r="E8" s="437"/>
      <c r="F8" s="434" t="str">
        <f t="shared" si="0"/>
        <v/>
      </c>
    </row>
    <row r="9" spans="1:6" ht="22.9" customHeight="1" x14ac:dyDescent="0.3">
      <c r="A9" s="445" t="s">
        <v>150</v>
      </c>
      <c r="B9" s="436">
        <f>'1. Статистика'!M42</f>
        <v>0.65500000000000003</v>
      </c>
      <c r="C9" s="436">
        <f>'3.Прогноз.С корректировкой таб8'!G18</f>
        <v>0.65500000000000003</v>
      </c>
      <c r="D9" s="436">
        <f t="shared" si="1"/>
        <v>0</v>
      </c>
      <c r="E9" s="437"/>
      <c r="F9" s="434" t="str">
        <f t="shared" si="0"/>
        <v/>
      </c>
    </row>
    <row r="10" spans="1:6" ht="22.9" customHeight="1" x14ac:dyDescent="0.3">
      <c r="A10" s="446" t="s">
        <v>39</v>
      </c>
      <c r="B10" s="440">
        <f>'1. Статистика'!M43</f>
        <v>46.3</v>
      </c>
      <c r="C10" s="440">
        <f>'3.Прогноз.С корректировкой таб8'!G19</f>
        <v>57.6</v>
      </c>
      <c r="D10" s="440">
        <f t="shared" si="1"/>
        <v>24.406047516198726</v>
      </c>
      <c r="E10" s="441" t="s">
        <v>152</v>
      </c>
      <c r="F10" s="434" t="str">
        <f t="shared" si="0"/>
        <v/>
      </c>
    </row>
    <row r="11" spans="1:6" ht="22.9" customHeight="1" x14ac:dyDescent="0.3">
      <c r="A11" s="438" t="s">
        <v>42</v>
      </c>
      <c r="B11" s="439">
        <f>SUM(B12:B16)</f>
        <v>222.5</v>
      </c>
      <c r="C11" s="439">
        <f>SUM(C12:C16)</f>
        <v>234.75700000000001</v>
      </c>
      <c r="D11" s="439">
        <f t="shared" si="1"/>
        <v>5.5087640449438311</v>
      </c>
      <c r="E11" s="452"/>
      <c r="F11" s="434" t="str">
        <f t="shared" si="0"/>
        <v/>
      </c>
    </row>
    <row r="12" spans="1:6" ht="22.9" customHeight="1" x14ac:dyDescent="0.3">
      <c r="A12" s="447" t="s">
        <v>103</v>
      </c>
      <c r="B12" s="440">
        <f>'1. Статистика'!M45</f>
        <v>11.6</v>
      </c>
      <c r="C12" s="440">
        <f>'3.Прогноз.С корректировкой таб8'!G23</f>
        <v>19.7</v>
      </c>
      <c r="D12" s="440">
        <f t="shared" si="1"/>
        <v>69.827586206896541</v>
      </c>
      <c r="E12" s="441" t="s">
        <v>153</v>
      </c>
      <c r="F12" s="434" t="str">
        <f t="shared" si="0"/>
        <v/>
      </c>
    </row>
    <row r="13" spans="1:6" ht="22.9" customHeight="1" x14ac:dyDescent="0.3">
      <c r="A13" s="446" t="s">
        <v>98</v>
      </c>
      <c r="B13" s="440">
        <f>'1. Статистика'!M46</f>
        <v>0</v>
      </c>
      <c r="C13" s="440">
        <f>'3.Прогноз.С корректировкой таб8'!G26</f>
        <v>0</v>
      </c>
      <c r="D13" s="440" t="str">
        <f t="shared" si="1"/>
        <v/>
      </c>
      <c r="E13" s="441"/>
      <c r="F13" s="434" t="str">
        <f t="shared" si="0"/>
        <v/>
      </c>
    </row>
    <row r="14" spans="1:6" ht="22.9" customHeight="1" x14ac:dyDescent="0.3">
      <c r="A14" s="446" t="s">
        <v>99</v>
      </c>
      <c r="B14" s="440">
        <f>'1. Статистика'!M47</f>
        <v>0.3</v>
      </c>
      <c r="C14" s="440">
        <f>'3.Прогноз.С корректировкой таб8'!G31</f>
        <v>0.307</v>
      </c>
      <c r="D14" s="440">
        <f t="shared" si="1"/>
        <v>2.3333333333333428</v>
      </c>
      <c r="E14" s="441"/>
      <c r="F14" s="434" t="str">
        <f t="shared" si="0"/>
        <v/>
      </c>
    </row>
    <row r="15" spans="1:6" ht="22.9" customHeight="1" x14ac:dyDescent="0.3">
      <c r="A15" s="446" t="s">
        <v>100</v>
      </c>
      <c r="B15" s="440">
        <f>'1. Статистика'!M48</f>
        <v>9.8000000000000007</v>
      </c>
      <c r="C15" s="440">
        <f>'3.Прогноз.С корректировкой таб8'!G33</f>
        <v>9.6</v>
      </c>
      <c r="D15" s="440">
        <f t="shared" si="1"/>
        <v>-2.0408163265306314</v>
      </c>
      <c r="E15" s="441"/>
      <c r="F15" s="434" t="str">
        <f t="shared" si="0"/>
        <v/>
      </c>
    </row>
    <row r="16" spans="1:6" ht="22.9" customHeight="1" x14ac:dyDescent="0.3">
      <c r="A16" s="446" t="s">
        <v>101</v>
      </c>
      <c r="B16" s="440">
        <f>'1. Статистика'!M49</f>
        <v>200.8</v>
      </c>
      <c r="C16" s="440">
        <f>'3.Прогноз.С корректировкой таб8'!G36</f>
        <v>205.15</v>
      </c>
      <c r="D16" s="440">
        <f t="shared" si="1"/>
        <v>2.1663346613545826</v>
      </c>
      <c r="E16" s="441"/>
      <c r="F16" s="434" t="str">
        <f t="shared" si="0"/>
        <v/>
      </c>
    </row>
    <row r="17" spans="1:6" ht="22.9" customHeight="1" thickBot="1" x14ac:dyDescent="0.35">
      <c r="A17" s="442" t="s">
        <v>51</v>
      </c>
      <c r="B17" s="443">
        <f>'1. Статистика'!M50</f>
        <v>1.8540000000000001</v>
      </c>
      <c r="C17" s="443">
        <f>'3.Прогноз.С корректировкой таб8'!G40</f>
        <v>1.7589999999999999</v>
      </c>
      <c r="D17" s="443">
        <f t="shared" si="1"/>
        <v>-5.1240560949298981</v>
      </c>
      <c r="E17" s="444"/>
      <c r="F17" s="434" t="str">
        <f t="shared" si="0"/>
        <v/>
      </c>
    </row>
  </sheetData>
  <sheetProtection algorithmName="SHA-512" hashValue="uLWzgLxTcr91AFvxVu5sB9E4S74mlq1fMRXMM8pdUrJLm1hBuscM14JC5fc9W8TbaD6Xz9MZ0kQ8VM+iYSZSRA==" saltValue="W9IQM9e3iaMig/LHe7pIjA==" spinCount="100000" sheet="1" objects="1" scenarios="1"/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1. Статистика</vt:lpstr>
      <vt:lpstr>2. Прогноз. Без корректировки</vt:lpstr>
      <vt:lpstr>3.Прогноз.С корректировкой таб8</vt:lpstr>
      <vt:lpstr>4. Комментарии</vt:lpstr>
      <vt:lpstr>Date</vt:lpstr>
      <vt:lpstr>DocN</vt:lpstr>
      <vt:lpstr>Test_date</vt:lpstr>
      <vt:lpstr>'2. Прогноз. Без корректировки'!Область_печати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 Degtyarev</dc:creator>
  <cp:lastModifiedBy>Елизарова Галина Анатольевна</cp:lastModifiedBy>
  <cp:revision>11</cp:revision>
  <cp:lastPrinted>2020-03-19T06:21:38Z</cp:lastPrinted>
  <dcterms:created xsi:type="dcterms:W3CDTF">2006-09-16T00:00:00Z</dcterms:created>
  <dcterms:modified xsi:type="dcterms:W3CDTF">2020-03-19T06:21:41Z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